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rley/Dropbox/Current/Pangenome/"/>
    </mc:Choice>
  </mc:AlternateContent>
  <xr:revisionPtr revIDLastSave="0" documentId="13_ncr:1_{1E1EA692-2161-D844-A734-398201FD571F}" xr6:coauthVersionLast="36" xr6:coauthVersionMax="36" xr10:uidLastSave="{00000000-0000-0000-0000-000000000000}"/>
  <bookViews>
    <workbookView xWindow="0" yWindow="460" windowWidth="28800" windowHeight="17540" activeTab="2" xr2:uid="{72F5C5F3-ACA3-A544-A0A2-8F396C5DBFDF}"/>
  </bookViews>
  <sheets>
    <sheet name="S. cerevisiae S288C global" sheetId="5" r:id="rId1"/>
    <sheet name="S. cerevisiae S288C chromosomal" sheetId="6" r:id="rId2"/>
    <sheet name="C. albicans SC5314 global" sheetId="4" r:id="rId3"/>
    <sheet name="C. albicans SC5314 chromosomal" sheetId="3" r:id="rId4"/>
    <sheet name="Cr. neoformans H99 global" sheetId="7" r:id="rId5"/>
    <sheet name="Cr. neoformans H99 chromosomal" sheetId="8" r:id="rId6"/>
    <sheet name="A. fumigatus Af293 global" sheetId="1" r:id="rId7"/>
    <sheet name="A. fumigatus Af293 chromosomal" sheetId="2" r:id="rId8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9" i="2" l="1"/>
  <c r="E18" i="2"/>
  <c r="E17" i="2"/>
  <c r="E16" i="2"/>
  <c r="E15" i="2"/>
  <c r="E14" i="2"/>
  <c r="E13" i="2"/>
  <c r="E12" i="2"/>
  <c r="C19" i="2"/>
  <c r="C18" i="2"/>
  <c r="C17" i="2"/>
  <c r="C16" i="2"/>
  <c r="C15" i="2"/>
  <c r="C14" i="2"/>
  <c r="C13" i="2"/>
  <c r="C12" i="2"/>
  <c r="E25" i="8"/>
  <c r="E24" i="8"/>
  <c r="E23" i="8"/>
  <c r="E22" i="8"/>
  <c r="E21" i="8"/>
  <c r="E20" i="8"/>
  <c r="E19" i="8"/>
  <c r="E18" i="8"/>
  <c r="E17" i="8"/>
  <c r="E16" i="8"/>
  <c r="E15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E14" i="8"/>
  <c r="E13" i="8"/>
  <c r="E12" i="8"/>
  <c r="O3" i="8"/>
  <c r="M3" i="8"/>
  <c r="L3" i="8"/>
  <c r="K3" i="8"/>
  <c r="H3" i="8"/>
  <c r="G3" i="8"/>
  <c r="F3" i="8"/>
  <c r="E3" i="8"/>
  <c r="D3" i="8"/>
  <c r="C3" i="8"/>
  <c r="B3" i="8"/>
  <c r="E27" i="6"/>
  <c r="E26" i="6"/>
  <c r="E25" i="6"/>
  <c r="E24" i="6"/>
  <c r="E23" i="6"/>
  <c r="E22" i="6"/>
  <c r="E21" i="6"/>
  <c r="E20" i="6"/>
  <c r="E19" i="6"/>
  <c r="E18" i="6"/>
  <c r="E16" i="6"/>
  <c r="E17" i="6"/>
  <c r="E15" i="6"/>
  <c r="E14" i="6"/>
  <c r="E13" i="6"/>
  <c r="E12" i="6"/>
  <c r="E19" i="3"/>
  <c r="E18" i="3"/>
  <c r="E17" i="3"/>
  <c r="E16" i="3"/>
  <c r="E15" i="3"/>
  <c r="E14" i="3"/>
  <c r="E13" i="3"/>
  <c r="E12" i="3"/>
  <c r="C6" i="6" l="1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B6" i="6"/>
  <c r="R5" i="6"/>
  <c r="D10" i="5" l="1"/>
  <c r="D9" i="5"/>
  <c r="B4" i="5"/>
  <c r="C4" i="5"/>
  <c r="E9" i="5" s="1"/>
  <c r="D3" i="5"/>
  <c r="D2" i="5"/>
  <c r="C3" i="6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B3" i="6"/>
  <c r="R2" i="6"/>
  <c r="R4" i="6"/>
  <c r="R6" i="6" s="1"/>
  <c r="D18" i="6" l="1"/>
  <c r="R3" i="6"/>
  <c r="F9" i="5"/>
  <c r="D24" i="6"/>
  <c r="D13" i="6"/>
  <c r="D16" i="6"/>
  <c r="D21" i="6"/>
  <c r="E10" i="5"/>
  <c r="F10" i="5" s="1"/>
  <c r="D25" i="6"/>
  <c r="D17" i="6"/>
  <c r="D20" i="6"/>
  <c r="D12" i="6"/>
  <c r="F18" i="6"/>
  <c r="D22" i="6"/>
  <c r="D26" i="6"/>
  <c r="D14" i="6"/>
  <c r="D23" i="6"/>
  <c r="D27" i="6"/>
  <c r="D15" i="6"/>
  <c r="D19" i="6"/>
  <c r="D4" i="5"/>
  <c r="C4" i="7"/>
  <c r="E9" i="7" s="1"/>
  <c r="B4" i="7"/>
  <c r="D10" i="7" s="1"/>
  <c r="D3" i="7"/>
  <c r="D2" i="7"/>
  <c r="E10" i="4"/>
  <c r="D9" i="4"/>
  <c r="F9" i="4" s="1"/>
  <c r="C4" i="4"/>
  <c r="E9" i="4" s="1"/>
  <c r="B4" i="4"/>
  <c r="D10" i="4" s="1"/>
  <c r="F10" i="4" s="1"/>
  <c r="D3" i="4"/>
  <c r="D2" i="4"/>
  <c r="D4" i="4" s="1"/>
  <c r="E10" i="1"/>
  <c r="D10" i="1"/>
  <c r="F10" i="1" s="1"/>
  <c r="E9" i="1"/>
  <c r="D9" i="1"/>
  <c r="F9" i="1" s="1"/>
  <c r="F23" i="6" l="1"/>
  <c r="F22" i="6"/>
  <c r="F12" i="6"/>
  <c r="F15" i="6"/>
  <c r="F13" i="6"/>
  <c r="F27" i="6"/>
  <c r="F26" i="6"/>
  <c r="F25" i="6"/>
  <c r="F17" i="6"/>
  <c r="F21" i="6"/>
  <c r="F16" i="6"/>
  <c r="D4" i="7"/>
  <c r="F14" i="6"/>
  <c r="F20" i="6"/>
  <c r="F19" i="6"/>
  <c r="F24" i="6"/>
  <c r="D9" i="7"/>
  <c r="F9" i="7" s="1"/>
  <c r="E10" i="7"/>
  <c r="F10" i="7" s="1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9" i="2"/>
  <c r="B18" i="2"/>
  <c r="B17" i="2"/>
  <c r="B16" i="2"/>
  <c r="B15" i="2"/>
  <c r="B14" i="2"/>
  <c r="B12" i="2"/>
  <c r="B13" i="2"/>
  <c r="P5" i="8"/>
  <c r="J5" i="3"/>
  <c r="C4" i="3"/>
  <c r="C6" i="3" s="1"/>
  <c r="D4" i="3"/>
  <c r="D6" i="3" s="1"/>
  <c r="E4" i="3"/>
  <c r="E6" i="3" s="1"/>
  <c r="F4" i="3"/>
  <c r="F6" i="3" s="1"/>
  <c r="G4" i="3"/>
  <c r="G6" i="3" s="1"/>
  <c r="H4" i="3"/>
  <c r="H6" i="3" s="1"/>
  <c r="I4" i="3"/>
  <c r="I6" i="3" s="1"/>
  <c r="B4" i="3"/>
  <c r="B6" i="3" s="1"/>
  <c r="J3" i="3"/>
  <c r="J2" i="3"/>
  <c r="J4" i="3" l="1"/>
  <c r="J6" i="3" s="1"/>
  <c r="P3" i="8"/>
  <c r="P2" i="8"/>
  <c r="C4" i="8"/>
  <c r="C6" i="8" s="1"/>
  <c r="D4" i="8"/>
  <c r="D6" i="8" s="1"/>
  <c r="E4" i="8"/>
  <c r="E6" i="8" s="1"/>
  <c r="F4" i="8"/>
  <c r="F6" i="8" s="1"/>
  <c r="G4" i="8"/>
  <c r="G6" i="8" s="1"/>
  <c r="H4" i="8"/>
  <c r="H6" i="8" s="1"/>
  <c r="I4" i="8"/>
  <c r="I6" i="8" s="1"/>
  <c r="J4" i="8"/>
  <c r="J6" i="8" s="1"/>
  <c r="K4" i="8"/>
  <c r="K6" i="8" s="1"/>
  <c r="L4" i="8"/>
  <c r="L6" i="8" s="1"/>
  <c r="M4" i="8"/>
  <c r="M6" i="8" s="1"/>
  <c r="N4" i="8"/>
  <c r="N6" i="8" s="1"/>
  <c r="O4" i="8"/>
  <c r="O6" i="8" s="1"/>
  <c r="B4" i="8"/>
  <c r="B4" i="2"/>
  <c r="C4" i="2"/>
  <c r="D4" i="2"/>
  <c r="E4" i="2"/>
  <c r="F4" i="2"/>
  <c r="G4" i="2"/>
  <c r="H4" i="2"/>
  <c r="I4" i="2"/>
  <c r="J3" i="2"/>
  <c r="D17" i="3" l="1"/>
  <c r="D16" i="3"/>
  <c r="D15" i="3"/>
  <c r="D18" i="3"/>
  <c r="D13" i="3"/>
  <c r="D19" i="3"/>
  <c r="D12" i="3"/>
  <c r="D14" i="3"/>
  <c r="P4" i="8"/>
  <c r="P6" i="8" s="1"/>
  <c r="B6" i="8"/>
  <c r="F17" i="3"/>
  <c r="J5" i="2"/>
  <c r="J2" i="2"/>
  <c r="C6" i="2"/>
  <c r="D6" i="2"/>
  <c r="E6" i="2"/>
  <c r="F6" i="2"/>
  <c r="G6" i="2"/>
  <c r="H6" i="2"/>
  <c r="I6" i="2"/>
  <c r="B6" i="2"/>
  <c r="J4" i="2"/>
  <c r="D16" i="8" l="1"/>
  <c r="D18" i="8"/>
  <c r="D21" i="8"/>
  <c r="D25" i="8"/>
  <c r="D15" i="8"/>
  <c r="D24" i="8"/>
  <c r="D22" i="8"/>
  <c r="D12" i="8"/>
  <c r="F12" i="8" s="1"/>
  <c r="D23" i="8"/>
  <c r="D17" i="8"/>
  <c r="F16" i="8"/>
  <c r="F14" i="3"/>
  <c r="F13" i="3"/>
  <c r="F15" i="3"/>
  <c r="F19" i="3"/>
  <c r="F18" i="3"/>
  <c r="F16" i="3"/>
  <c r="F12" i="3"/>
  <c r="J6" i="2"/>
  <c r="D13" i="8"/>
  <c r="F13" i="8" s="1"/>
  <c r="D14" i="8"/>
  <c r="D19" i="8"/>
  <c r="D20" i="8"/>
  <c r="F21" i="8"/>
  <c r="D18" i="2"/>
  <c r="F18" i="2" s="1"/>
  <c r="D16" i="2"/>
  <c r="F16" i="2" s="1"/>
  <c r="D14" i="2"/>
  <c r="F14" i="2" s="1"/>
  <c r="D19" i="2"/>
  <c r="D17" i="2"/>
  <c r="F17" i="2" s="1"/>
  <c r="D15" i="2"/>
  <c r="F15" i="2" s="1"/>
  <c r="D12" i="2"/>
  <c r="F12" i="2" s="1"/>
  <c r="D13" i="2"/>
  <c r="F13" i="2" s="1"/>
  <c r="F19" i="2" l="1"/>
  <c r="F25" i="8"/>
  <c r="F17" i="8"/>
  <c r="F24" i="8"/>
  <c r="F22" i="8"/>
  <c r="F20" i="8"/>
  <c r="F18" i="8"/>
  <c r="F15" i="8"/>
  <c r="F23" i="8"/>
  <c r="F14" i="8"/>
  <c r="F19" i="8"/>
</calcChain>
</file>

<file path=xl/sharedStrings.xml><?xml version="1.0" encoding="utf-8"?>
<sst xmlns="http://schemas.openxmlformats.org/spreadsheetml/2006/main" count="205" uniqueCount="21">
  <si>
    <t>Avg. intergenic</t>
  </si>
  <si>
    <t>Chromosome</t>
  </si>
  <si>
    <t>Core genes</t>
  </si>
  <si>
    <t>Total genes</t>
  </si>
  <si>
    <t>Total</t>
  </si>
  <si>
    <t>Length (bp)</t>
  </si>
  <si>
    <t>Core</t>
  </si>
  <si>
    <t>Observed</t>
  </si>
  <si>
    <t>Expected</t>
  </si>
  <si>
    <t>Gene density (per Mb)</t>
  </si>
  <si>
    <t>Chromosome #</t>
  </si>
  <si>
    <t>R</t>
  </si>
  <si>
    <t>Chi-squared p-value</t>
  </si>
  <si>
    <t>Preference</t>
  </si>
  <si>
    <t>None</t>
  </si>
  <si>
    <t>Other accessory genes</t>
  </si>
  <si>
    <t>Region</t>
  </si>
  <si>
    <t>Accessory</t>
  </si>
  <si>
    <t>Remaining 80% of Chromosomes</t>
  </si>
  <si>
    <t>First/Last 10%s of Chromosomes</t>
  </si>
  <si>
    <t>Accessory genes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</si>
</sst>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0" fillId="0" borderId="0" xfId="0" applyFont="1"/>
    <xf numFmtId="2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49" fontId="1" fillId="0" borderId="0" xfId="0" applyNumberFormat="1" applyFont="1"/>
    <xf numFmtId="0" fontId="0" fillId="3" borderId="0" xfId="0" applyFill="1"/>
    <xf numFmtId="0" fontId="0" fillId="4" borderId="0" xfId="0" applyFill="1"/>
    <xf numFmtId="0" fontId="1" fillId="0" borderId="0" xfId="0" applyFont="1" applyFill="1"/>
    <xf numFmtId="0" fontId="2" fillId="0" borderId="0" xfId="0" applyFont="1" applyAlignment="1">
      <alignment horizontal="center"/>
    </xf>
    <xf numFmtId="0" fontId="1" fillId="3" borderId="0" xfId="0" applyFont="1" applyFill="1"/>
    <xf numFmtId="0" fontId="1" fillId="4" borderId="0" xfId="0" applyFont="1" applyFill="1"/>
    <xf numFmtId="2" fontId="1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4" fillId="2" borderId="0" xfId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Good" xfId="1" builtinId="26"/>
    <cellStyle name="Normal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79737-4774-E94E-B66C-877AA2621536}">
  <dimension ref="A1:H10"/>
  <sheetViews>
    <sheetView workbookViewId="0">
      <selection activeCell="H10" sqref="H10"/>
    </sheetView>
  </sheetViews>
  <sheetFormatPr baseColWidth="10" defaultRowHeight="16" x14ac:dyDescent="0.2"/>
  <cols>
    <col min="1" max="1" width="32.5" customWidth="1"/>
  </cols>
  <sheetData>
    <row r="1" spans="1:8" x14ac:dyDescent="0.2">
      <c r="A1" s="6" t="s">
        <v>16</v>
      </c>
      <c r="B1" s="6" t="s">
        <v>6</v>
      </c>
      <c r="C1" s="6" t="s">
        <v>17</v>
      </c>
      <c r="D1" s="6" t="s">
        <v>4</v>
      </c>
    </row>
    <row r="2" spans="1:8" x14ac:dyDescent="0.2">
      <c r="A2" s="6" t="s">
        <v>19</v>
      </c>
      <c r="B2">
        <v>737</v>
      </c>
      <c r="C2">
        <v>307</v>
      </c>
      <c r="D2">
        <f>SUM(B2:C2)</f>
        <v>1044</v>
      </c>
    </row>
    <row r="3" spans="1:8" x14ac:dyDescent="0.2">
      <c r="A3" s="6" t="s">
        <v>18</v>
      </c>
      <c r="B3">
        <v>4163</v>
      </c>
      <c r="C3">
        <v>608</v>
      </c>
      <c r="D3">
        <f>SUM(B3:C3)</f>
        <v>4771</v>
      </c>
    </row>
    <row r="4" spans="1:8" x14ac:dyDescent="0.2">
      <c r="A4" s="6" t="s">
        <v>4</v>
      </c>
      <c r="B4" s="1">
        <f t="shared" ref="B4:C4" si="0">SUM(B2:B3)</f>
        <v>4900</v>
      </c>
      <c r="C4" s="1">
        <f t="shared" si="0"/>
        <v>915</v>
      </c>
      <c r="D4" s="1">
        <f>SUM(D2:D3)</f>
        <v>5815</v>
      </c>
    </row>
    <row r="5" spans="1:8" x14ac:dyDescent="0.2">
      <c r="A5" s="6"/>
    </row>
    <row r="6" spans="1:8" x14ac:dyDescent="0.2">
      <c r="A6" s="7"/>
    </row>
    <row r="7" spans="1:8" x14ac:dyDescent="0.2">
      <c r="A7" s="6"/>
      <c r="B7" s="6" t="s">
        <v>6</v>
      </c>
      <c r="C7" s="6" t="s">
        <v>17</v>
      </c>
      <c r="D7" s="6" t="s">
        <v>6</v>
      </c>
      <c r="E7" s="6" t="s">
        <v>17</v>
      </c>
      <c r="F7" s="6"/>
      <c r="G7" s="6"/>
      <c r="H7" s="6"/>
    </row>
    <row r="8" spans="1:8" x14ac:dyDescent="0.2">
      <c r="A8" s="6"/>
      <c r="B8" s="6" t="s">
        <v>7</v>
      </c>
      <c r="C8" s="6" t="s">
        <v>7</v>
      </c>
      <c r="D8" s="6" t="s">
        <v>8</v>
      </c>
      <c r="E8" s="6" t="s">
        <v>8</v>
      </c>
      <c r="F8" s="19" t="s">
        <v>12</v>
      </c>
      <c r="G8" s="19"/>
      <c r="H8" s="6" t="s">
        <v>13</v>
      </c>
    </row>
    <row r="9" spans="1:8" x14ac:dyDescent="0.2">
      <c r="A9" s="6" t="s">
        <v>19</v>
      </c>
      <c r="B9">
        <v>737</v>
      </c>
      <c r="C9">
        <v>307</v>
      </c>
      <c r="D9">
        <f>B4 * 0.2</f>
        <v>980</v>
      </c>
      <c r="E9">
        <f xml:space="preserve"> C4 * 0.2</f>
        <v>183</v>
      </c>
      <c r="F9" s="20">
        <f>_xlfn.CHISQ.TEST(B9:C9,D9:E9)</f>
        <v>3.0921545285831897E-33</v>
      </c>
      <c r="G9" s="20"/>
      <c r="H9" s="1" t="s">
        <v>17</v>
      </c>
    </row>
    <row r="10" spans="1:8" x14ac:dyDescent="0.2">
      <c r="A10" s="6" t="s">
        <v>18</v>
      </c>
      <c r="B10">
        <v>4163</v>
      </c>
      <c r="C10">
        <v>608</v>
      </c>
      <c r="D10">
        <f xml:space="preserve"> B4 * 0.8</f>
        <v>3920</v>
      </c>
      <c r="E10">
        <f xml:space="preserve"> C4 * 0.8</f>
        <v>732</v>
      </c>
      <c r="F10" s="20">
        <f>_xlfn.CHISQ.TEST(B10:C10,D10:E10)</f>
        <v>1.9045416566042156E-9</v>
      </c>
      <c r="G10" s="20"/>
      <c r="H10" s="1" t="s">
        <v>6</v>
      </c>
    </row>
  </sheetData>
  <mergeCells count="3">
    <mergeCell ref="F8:G8"/>
    <mergeCell ref="F9:G9"/>
    <mergeCell ref="F10:G10"/>
  </mergeCells>
  <conditionalFormatting sqref="F9:G10">
    <cfRule type="cellIs" dxfId="4" priority="1" operator="lessThanOrEqual">
      <formula>0.05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EAE85-9BBC-C64E-AABB-552D4F257609}">
  <dimension ref="A1:R27"/>
  <sheetViews>
    <sheetView workbookViewId="0">
      <selection activeCell="E28" sqref="E28"/>
    </sheetView>
  </sheetViews>
  <sheetFormatPr baseColWidth="10" defaultRowHeight="16" x14ac:dyDescent="0.2"/>
  <cols>
    <col min="1" max="1" width="19.5" customWidth="1"/>
  </cols>
  <sheetData>
    <row r="1" spans="1:18" x14ac:dyDescent="0.2">
      <c r="A1" s="1" t="s">
        <v>10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 t="s">
        <v>4</v>
      </c>
    </row>
    <row r="2" spans="1:18" x14ac:dyDescent="0.2">
      <c r="A2" s="6" t="s">
        <v>2</v>
      </c>
      <c r="B2">
        <v>56</v>
      </c>
      <c r="C2">
        <v>360</v>
      </c>
      <c r="D2">
        <v>122</v>
      </c>
      <c r="E2">
        <v>641</v>
      </c>
      <c r="F2">
        <v>221</v>
      </c>
      <c r="G2">
        <v>90</v>
      </c>
      <c r="H2">
        <v>454</v>
      </c>
      <c r="I2">
        <v>223</v>
      </c>
      <c r="J2">
        <v>176</v>
      </c>
      <c r="K2">
        <v>283</v>
      </c>
      <c r="L2">
        <v>264</v>
      </c>
      <c r="M2">
        <v>420</v>
      </c>
      <c r="N2">
        <v>403</v>
      </c>
      <c r="O2">
        <v>340</v>
      </c>
      <c r="P2">
        <v>458</v>
      </c>
      <c r="Q2">
        <v>389</v>
      </c>
      <c r="R2" s="1">
        <f>SUM(B2:Q2)</f>
        <v>4900</v>
      </c>
    </row>
    <row r="3" spans="1:18" x14ac:dyDescent="0.2">
      <c r="A3" s="6" t="s">
        <v>20</v>
      </c>
      <c r="B3">
        <f>B4-B2</f>
        <v>38</v>
      </c>
      <c r="C3">
        <f>C4-C2</f>
        <v>45</v>
      </c>
      <c r="D3">
        <f>D4-D2</f>
        <v>35</v>
      </c>
      <c r="E3">
        <f>E4-E2</f>
        <v>101</v>
      </c>
      <c r="F3">
        <f>F4-F2</f>
        <v>50</v>
      </c>
      <c r="G3">
        <f>G4-G2</f>
        <v>32</v>
      </c>
      <c r="H3">
        <f>H4-H2</f>
        <v>67</v>
      </c>
      <c r="I3">
        <f>I4-I2</f>
        <v>59</v>
      </c>
      <c r="J3">
        <f>J4-J2</f>
        <v>37</v>
      </c>
      <c r="K3">
        <f>K4-K2</f>
        <v>68</v>
      </c>
      <c r="L3">
        <f>L4-L2</f>
        <v>47</v>
      </c>
      <c r="M3">
        <f>M4-M2</f>
        <v>79</v>
      </c>
      <c r="N3">
        <f>N4-N2</f>
        <v>53</v>
      </c>
      <c r="O3">
        <f>O4-O2</f>
        <v>54</v>
      </c>
      <c r="P3">
        <f>P4-P2</f>
        <v>77</v>
      </c>
      <c r="Q3">
        <f>Q4-Q2</f>
        <v>73</v>
      </c>
      <c r="R3" s="1">
        <f t="shared" ref="R3" si="0">SUM(B3:Q3)</f>
        <v>915</v>
      </c>
    </row>
    <row r="4" spans="1:18" x14ac:dyDescent="0.2">
      <c r="A4" s="6" t="s">
        <v>3</v>
      </c>
      <c r="B4" s="1">
        <v>94</v>
      </c>
      <c r="C4" s="1">
        <v>405</v>
      </c>
      <c r="D4" s="1">
        <v>157</v>
      </c>
      <c r="E4" s="1">
        <v>742</v>
      </c>
      <c r="F4" s="1">
        <v>271</v>
      </c>
      <c r="G4" s="1">
        <v>122</v>
      </c>
      <c r="H4" s="1">
        <v>521</v>
      </c>
      <c r="I4" s="1">
        <v>282</v>
      </c>
      <c r="J4" s="1">
        <v>213</v>
      </c>
      <c r="K4" s="1">
        <v>351</v>
      </c>
      <c r="L4" s="1">
        <v>311</v>
      </c>
      <c r="M4" s="1">
        <v>499</v>
      </c>
      <c r="N4" s="1">
        <v>456</v>
      </c>
      <c r="O4" s="1">
        <v>394</v>
      </c>
      <c r="P4" s="1">
        <v>535</v>
      </c>
      <c r="Q4" s="1">
        <v>462</v>
      </c>
      <c r="R4" s="1">
        <f>SUM(B4:Q4)</f>
        <v>5815</v>
      </c>
    </row>
    <row r="5" spans="1:18" x14ac:dyDescent="0.2">
      <c r="A5" s="6" t="s">
        <v>5</v>
      </c>
      <c r="B5">
        <v>230218</v>
      </c>
      <c r="C5">
        <v>813184</v>
      </c>
      <c r="D5">
        <v>316620</v>
      </c>
      <c r="E5">
        <v>1531933</v>
      </c>
      <c r="F5">
        <v>576874</v>
      </c>
      <c r="G5">
        <v>270161</v>
      </c>
      <c r="H5">
        <v>1090940</v>
      </c>
      <c r="I5">
        <v>562643</v>
      </c>
      <c r="J5">
        <v>439888</v>
      </c>
      <c r="K5">
        <v>745751</v>
      </c>
      <c r="L5">
        <v>666816</v>
      </c>
      <c r="M5">
        <v>1078177</v>
      </c>
      <c r="N5">
        <v>924431</v>
      </c>
      <c r="O5">
        <v>784333</v>
      </c>
      <c r="P5">
        <v>1091291</v>
      </c>
      <c r="Q5">
        <v>948066</v>
      </c>
      <c r="R5" s="1">
        <f>SUM(B5:Q5)</f>
        <v>12071326</v>
      </c>
    </row>
    <row r="6" spans="1:18" x14ac:dyDescent="0.2">
      <c r="A6" s="6" t="s">
        <v>9</v>
      </c>
      <c r="B6">
        <f>(B4/B5)*1000000</f>
        <v>408.30864658714785</v>
      </c>
      <c r="C6" s="17">
        <f t="shared" ref="C6:R6" si="1">(C4/C5)*1000000</f>
        <v>498.04226349756021</v>
      </c>
      <c r="D6" s="17">
        <f t="shared" si="1"/>
        <v>495.86254816499269</v>
      </c>
      <c r="E6" s="17">
        <f t="shared" si="1"/>
        <v>484.3553862995314</v>
      </c>
      <c r="F6" s="17">
        <f t="shared" si="1"/>
        <v>469.77329538166049</v>
      </c>
      <c r="G6" s="17">
        <f t="shared" si="1"/>
        <v>451.5825748350058</v>
      </c>
      <c r="H6" s="17">
        <f t="shared" si="1"/>
        <v>477.56980218893801</v>
      </c>
      <c r="I6" s="17">
        <f t="shared" si="1"/>
        <v>501.20591565166541</v>
      </c>
      <c r="J6" s="17">
        <f t="shared" si="1"/>
        <v>484.21416360528133</v>
      </c>
      <c r="K6" s="17">
        <f t="shared" si="1"/>
        <v>470.66648251225945</v>
      </c>
      <c r="L6" s="17">
        <f t="shared" si="1"/>
        <v>466.39552740186195</v>
      </c>
      <c r="M6" s="17">
        <f t="shared" si="1"/>
        <v>462.81825711362791</v>
      </c>
      <c r="N6" s="17">
        <f t="shared" si="1"/>
        <v>493.27640462078836</v>
      </c>
      <c r="O6" s="17">
        <f t="shared" si="1"/>
        <v>502.33765505212705</v>
      </c>
      <c r="P6" s="17">
        <f t="shared" si="1"/>
        <v>490.24504004889621</v>
      </c>
      <c r="Q6" s="17">
        <f t="shared" si="1"/>
        <v>487.30784565631507</v>
      </c>
      <c r="R6" s="1">
        <f t="shared" si="1"/>
        <v>481.72006952674457</v>
      </c>
    </row>
    <row r="7" spans="1:18" x14ac:dyDescent="0.2">
      <c r="A7" s="6"/>
      <c r="R7" s="1"/>
    </row>
    <row r="10" spans="1:18" x14ac:dyDescent="0.2">
      <c r="A10" s="12"/>
      <c r="B10" s="12" t="s">
        <v>6</v>
      </c>
      <c r="C10" s="12" t="s">
        <v>17</v>
      </c>
      <c r="D10" s="12" t="s">
        <v>6</v>
      </c>
      <c r="E10" s="12" t="s">
        <v>17</v>
      </c>
      <c r="F10" s="16"/>
      <c r="G10" s="16"/>
      <c r="H10" s="16"/>
    </row>
    <row r="11" spans="1:18" x14ac:dyDescent="0.2">
      <c r="A11" s="6" t="s">
        <v>1</v>
      </c>
      <c r="B11" s="6" t="s">
        <v>7</v>
      </c>
      <c r="C11" s="6" t="s">
        <v>7</v>
      </c>
      <c r="D11" s="6" t="s">
        <v>8</v>
      </c>
      <c r="E11" s="6" t="s">
        <v>8</v>
      </c>
      <c r="F11" s="19" t="s">
        <v>12</v>
      </c>
      <c r="G11" s="19"/>
      <c r="H11" s="6" t="s">
        <v>13</v>
      </c>
    </row>
    <row r="12" spans="1:18" x14ac:dyDescent="0.2">
      <c r="A12" s="1">
        <v>1</v>
      </c>
      <c r="B12" s="7">
        <v>56</v>
      </c>
      <c r="C12" s="7">
        <v>38</v>
      </c>
      <c r="D12">
        <f>R2/R4 * B4</f>
        <v>79.208942390369742</v>
      </c>
      <c r="E12">
        <f>(R3)/R4* B4</f>
        <v>14.791057609630267</v>
      </c>
      <c r="F12" s="21">
        <f>_xlfn.CHISQ.TEST(B12:C12,D12:E12)</f>
        <v>4.8967003850886855E-11</v>
      </c>
      <c r="G12" s="21"/>
      <c r="H12" s="1" t="s">
        <v>17</v>
      </c>
    </row>
    <row r="13" spans="1:18" x14ac:dyDescent="0.2">
      <c r="A13" s="1">
        <v>2</v>
      </c>
      <c r="B13" s="7">
        <v>360</v>
      </c>
      <c r="C13" s="7">
        <v>45</v>
      </c>
      <c r="D13">
        <f>R2/R4 * C4</f>
        <v>341.27257093723131</v>
      </c>
      <c r="E13">
        <f>(R3)/R4*C4</f>
        <v>63.727429062768707</v>
      </c>
      <c r="F13" s="21">
        <f t="shared" ref="F13:F27" si="2">_xlfn.CHISQ.TEST(B13:C13,D13:E13)</f>
        <v>1.0600686582183596E-2</v>
      </c>
      <c r="G13" s="21"/>
      <c r="H13" s="1" t="s">
        <v>6</v>
      </c>
    </row>
    <row r="14" spans="1:18" x14ac:dyDescent="0.2">
      <c r="A14" s="1">
        <v>3</v>
      </c>
      <c r="B14" s="7">
        <v>122</v>
      </c>
      <c r="C14" s="7">
        <v>35</v>
      </c>
      <c r="D14">
        <f>R2/R4 * D4</f>
        <v>132.29578675838349</v>
      </c>
      <c r="E14">
        <f>(R3)/R4*D4</f>
        <v>24.704213241616511</v>
      </c>
      <c r="F14" s="21">
        <f t="shared" si="2"/>
        <v>2.4034295432605924E-2</v>
      </c>
      <c r="G14" s="21"/>
      <c r="H14" s="1" t="s">
        <v>17</v>
      </c>
    </row>
    <row r="15" spans="1:18" x14ac:dyDescent="0.2">
      <c r="A15" s="1">
        <v>4</v>
      </c>
      <c r="B15" s="7">
        <v>641</v>
      </c>
      <c r="C15" s="7">
        <v>101</v>
      </c>
      <c r="D15">
        <f>R2/R4 * E4</f>
        <v>625.24505588993986</v>
      </c>
      <c r="E15">
        <f>(R3)/R4*E4</f>
        <v>116.75494411006019</v>
      </c>
      <c r="F15" s="21">
        <f t="shared" si="2"/>
        <v>0.11219908482429543</v>
      </c>
      <c r="G15" s="21"/>
      <c r="H15" s="1" t="s">
        <v>14</v>
      </c>
    </row>
    <row r="16" spans="1:18" x14ac:dyDescent="0.2">
      <c r="A16" s="1">
        <v>5</v>
      </c>
      <c r="B16" s="7">
        <v>221</v>
      </c>
      <c r="C16" s="7">
        <v>50</v>
      </c>
      <c r="D16">
        <f>R2/R4*F4</f>
        <v>228.35769561478935</v>
      </c>
      <c r="E16">
        <f>(R3)/R4*F4</f>
        <v>42.642304385210664</v>
      </c>
      <c r="F16" s="21">
        <f t="shared" si="2"/>
        <v>0.21965934964281958</v>
      </c>
      <c r="G16" s="21"/>
      <c r="H16" s="1" t="s">
        <v>14</v>
      </c>
    </row>
    <row r="17" spans="1:8" x14ac:dyDescent="0.2">
      <c r="A17" s="1">
        <v>6</v>
      </c>
      <c r="B17" s="7">
        <v>90</v>
      </c>
      <c r="C17" s="7">
        <v>32</v>
      </c>
      <c r="D17">
        <f>R2/R4 * G4</f>
        <v>102.80309544282029</v>
      </c>
      <c r="E17">
        <f>(R3)/R4*G4</f>
        <v>19.196904557179707</v>
      </c>
      <c r="F17" s="21">
        <f t="shared" si="2"/>
        <v>1.456117143462238E-3</v>
      </c>
      <c r="G17" s="21"/>
      <c r="H17" s="1" t="s">
        <v>17</v>
      </c>
    </row>
    <row r="18" spans="1:8" x14ac:dyDescent="0.2">
      <c r="A18" s="1">
        <v>7</v>
      </c>
      <c r="B18" s="7">
        <v>454</v>
      </c>
      <c r="C18" s="7">
        <v>67</v>
      </c>
      <c r="D18">
        <f>R2/R4 * H4</f>
        <v>439.01977644024078</v>
      </c>
      <c r="E18">
        <f>(R3)/R4*H4</f>
        <v>81.980223559759253</v>
      </c>
      <c r="F18" s="21">
        <f t="shared" si="2"/>
        <v>7.1489420690400693E-2</v>
      </c>
      <c r="G18" s="21"/>
      <c r="H18" s="1" t="s">
        <v>14</v>
      </c>
    </row>
    <row r="19" spans="1:8" x14ac:dyDescent="0.2">
      <c r="A19" s="1">
        <v>8</v>
      </c>
      <c r="B19" s="7">
        <v>223</v>
      </c>
      <c r="C19" s="7">
        <v>59</v>
      </c>
      <c r="D19">
        <f>R2/R4 * I4</f>
        <v>237.62682717110923</v>
      </c>
      <c r="E19">
        <f>(R3)/R4*I4</f>
        <v>44.373172828890802</v>
      </c>
      <c r="F19" s="21">
        <f t="shared" si="2"/>
        <v>1.6755451229846688E-2</v>
      </c>
      <c r="G19" s="21"/>
      <c r="H19" s="1" t="s">
        <v>17</v>
      </c>
    </row>
    <row r="20" spans="1:8" x14ac:dyDescent="0.2">
      <c r="A20" s="1">
        <v>9</v>
      </c>
      <c r="B20" s="7">
        <v>176</v>
      </c>
      <c r="C20" s="7">
        <v>37</v>
      </c>
      <c r="D20">
        <f>R2/R4 * J4</f>
        <v>179.48409286328462</v>
      </c>
      <c r="E20">
        <f>(R3)/R4*J4</f>
        <v>33.515907136715391</v>
      </c>
      <c r="F20" s="21">
        <f t="shared" si="2"/>
        <v>0.51207947813192933</v>
      </c>
      <c r="G20" s="21"/>
      <c r="H20" s="1" t="s">
        <v>14</v>
      </c>
    </row>
    <row r="21" spans="1:8" x14ac:dyDescent="0.2">
      <c r="A21" s="1">
        <v>10</v>
      </c>
      <c r="B21" s="7">
        <v>283</v>
      </c>
      <c r="C21" s="7">
        <v>68</v>
      </c>
      <c r="D21">
        <f>R2/R4 * K4</f>
        <v>295.76956147893378</v>
      </c>
      <c r="E21">
        <f>(R3)/R4*K4</f>
        <v>55.230438521066212</v>
      </c>
      <c r="F21" s="21">
        <f t="shared" si="2"/>
        <v>6.1231824189473059E-2</v>
      </c>
      <c r="G21" s="21"/>
      <c r="H21" s="1" t="s">
        <v>14</v>
      </c>
    </row>
    <row r="22" spans="1:8" x14ac:dyDescent="0.2">
      <c r="A22" s="1">
        <v>11</v>
      </c>
      <c r="B22" s="7">
        <v>264</v>
      </c>
      <c r="C22" s="7">
        <v>47</v>
      </c>
      <c r="D22">
        <f>R2/R4 * L4</f>
        <v>262.06362854686159</v>
      </c>
      <c r="E22">
        <f>(R3)/R4*L4</f>
        <v>48.936371453138435</v>
      </c>
      <c r="F22" s="21">
        <f t="shared" si="2"/>
        <v>0.76300027629248124</v>
      </c>
      <c r="G22" s="21"/>
      <c r="H22" s="1" t="s">
        <v>14</v>
      </c>
    </row>
    <row r="23" spans="1:8" x14ac:dyDescent="0.2">
      <c r="A23" s="1">
        <v>12</v>
      </c>
      <c r="B23" s="7">
        <v>420</v>
      </c>
      <c r="C23" s="7">
        <v>79</v>
      </c>
      <c r="D23">
        <f>R2/R4 * M4</f>
        <v>420.48151332760108</v>
      </c>
      <c r="E23">
        <f>(R3)/R4*M4</f>
        <v>78.518486672398978</v>
      </c>
      <c r="F23" s="21">
        <f t="shared" si="2"/>
        <v>0.95279525626911055</v>
      </c>
      <c r="G23" s="21"/>
      <c r="H23" s="1" t="s">
        <v>14</v>
      </c>
    </row>
    <row r="24" spans="1:8" x14ac:dyDescent="0.2">
      <c r="A24" s="1">
        <v>13</v>
      </c>
      <c r="B24" s="7">
        <v>403</v>
      </c>
      <c r="C24" s="7">
        <v>53</v>
      </c>
      <c r="D24">
        <f>R2/R4 * N4</f>
        <v>384.2476354256234</v>
      </c>
      <c r="E24">
        <f>(R3)/R4*N4</f>
        <v>71.752364574376614</v>
      </c>
      <c r="F24" s="21">
        <f t="shared" si="2"/>
        <v>1.588040455863594E-2</v>
      </c>
      <c r="G24" s="21"/>
      <c r="H24" s="1" t="s">
        <v>6</v>
      </c>
    </row>
    <row r="25" spans="1:8" x14ac:dyDescent="0.2">
      <c r="A25" s="1">
        <v>14</v>
      </c>
      <c r="B25" s="7">
        <v>340</v>
      </c>
      <c r="C25" s="7">
        <v>54</v>
      </c>
      <c r="D25">
        <f>R2/R4 * O4</f>
        <v>332.00343938091146</v>
      </c>
      <c r="E25">
        <f>(R3)/R4*O4</f>
        <v>61.996560619088569</v>
      </c>
      <c r="F25" s="21">
        <f t="shared" si="2"/>
        <v>0.26857096370265743</v>
      </c>
      <c r="G25" s="21"/>
      <c r="H25" s="1" t="s">
        <v>14</v>
      </c>
    </row>
    <row r="26" spans="1:8" x14ac:dyDescent="0.2">
      <c r="A26" s="1">
        <v>15</v>
      </c>
      <c r="B26" s="7">
        <v>458</v>
      </c>
      <c r="C26" s="7">
        <v>77</v>
      </c>
      <c r="D26">
        <f>R2/R4 * P4</f>
        <v>450.81685296646606</v>
      </c>
      <c r="E26">
        <f>(R3)/R4*P4</f>
        <v>84.18314703353397</v>
      </c>
      <c r="F26" s="21">
        <f t="shared" si="2"/>
        <v>0.3937355833176831</v>
      </c>
      <c r="G26" s="21"/>
      <c r="H26" s="1" t="s">
        <v>14</v>
      </c>
    </row>
    <row r="27" spans="1:8" x14ac:dyDescent="0.2">
      <c r="A27" s="1">
        <v>16</v>
      </c>
      <c r="B27" s="7">
        <v>389</v>
      </c>
      <c r="C27" s="7">
        <v>73</v>
      </c>
      <c r="D27">
        <f>R2/R4 * Q4</f>
        <v>389.30352536543427</v>
      </c>
      <c r="E27">
        <f>(R3)/R4*Q4</f>
        <v>72.696474634565774</v>
      </c>
      <c r="F27" s="21">
        <f t="shared" si="2"/>
        <v>0.96906526866632814</v>
      </c>
      <c r="G27" s="21"/>
      <c r="H27" s="1" t="s">
        <v>14</v>
      </c>
    </row>
  </sheetData>
  <mergeCells count="17">
    <mergeCell ref="F23:G23"/>
    <mergeCell ref="F24:G24"/>
    <mergeCell ref="F25:G25"/>
    <mergeCell ref="F26:G26"/>
    <mergeCell ref="F27:G27"/>
    <mergeCell ref="F22:G22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</mergeCells>
  <conditionalFormatting sqref="F12:G27">
    <cfRule type="cellIs" dxfId="3" priority="1" operator="lessThanOrEqual">
      <formula>0.05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4138F-A29A-A548-88E3-DBEF2B3C24F7}">
  <dimension ref="A1:H10"/>
  <sheetViews>
    <sheetView tabSelected="1" workbookViewId="0">
      <selection activeCell="F9" sqref="F9:G9"/>
    </sheetView>
  </sheetViews>
  <sheetFormatPr baseColWidth="10" defaultRowHeight="16" x14ac:dyDescent="0.2"/>
  <cols>
    <col min="1" max="1" width="29.83203125" customWidth="1"/>
  </cols>
  <sheetData>
    <row r="1" spans="1:8" x14ac:dyDescent="0.2">
      <c r="A1" s="1" t="s">
        <v>16</v>
      </c>
      <c r="B1" s="1" t="s">
        <v>6</v>
      </c>
      <c r="C1" s="1" t="s">
        <v>17</v>
      </c>
      <c r="D1" s="1" t="s">
        <v>4</v>
      </c>
    </row>
    <row r="2" spans="1:8" x14ac:dyDescent="0.2">
      <c r="A2" s="1" t="s">
        <v>19</v>
      </c>
      <c r="B2">
        <v>1181</v>
      </c>
      <c r="C2">
        <v>115</v>
      </c>
      <c r="D2" s="1">
        <f>SUM(B2:C2)</f>
        <v>1296</v>
      </c>
    </row>
    <row r="3" spans="1:8" x14ac:dyDescent="0.2">
      <c r="A3" s="1" t="s">
        <v>18</v>
      </c>
      <c r="B3">
        <v>4251</v>
      </c>
      <c r="C3">
        <v>479</v>
      </c>
      <c r="D3" s="1">
        <f>SUM(B3:C3)</f>
        <v>4730</v>
      </c>
    </row>
    <row r="4" spans="1:8" x14ac:dyDescent="0.2">
      <c r="A4" s="1" t="s">
        <v>4</v>
      </c>
      <c r="B4" s="1">
        <f>SUM(B2:B3)</f>
        <v>5432</v>
      </c>
      <c r="C4" s="1">
        <f>SUM(C2:C3)</f>
        <v>594</v>
      </c>
      <c r="D4" s="1">
        <f>SUM(D2:D3)</f>
        <v>6026</v>
      </c>
    </row>
    <row r="5" spans="1:8" x14ac:dyDescent="0.2">
      <c r="A5" s="1"/>
    </row>
    <row r="7" spans="1:8" x14ac:dyDescent="0.2">
      <c r="A7" s="1"/>
      <c r="B7" s="1" t="s">
        <v>6</v>
      </c>
      <c r="C7" s="1" t="s">
        <v>17</v>
      </c>
      <c r="D7" s="1" t="s">
        <v>6</v>
      </c>
      <c r="E7" s="1" t="s">
        <v>17</v>
      </c>
      <c r="F7" s="1"/>
      <c r="G7" s="1"/>
      <c r="H7" s="1"/>
    </row>
    <row r="8" spans="1:8" x14ac:dyDescent="0.2">
      <c r="A8" s="1"/>
      <c r="B8" s="1" t="s">
        <v>7</v>
      </c>
      <c r="C8" s="1" t="s">
        <v>7</v>
      </c>
      <c r="D8" s="1" t="s">
        <v>8</v>
      </c>
      <c r="E8" s="1" t="s">
        <v>8</v>
      </c>
      <c r="F8" s="19" t="s">
        <v>12</v>
      </c>
      <c r="G8" s="19"/>
      <c r="H8" s="1" t="s">
        <v>13</v>
      </c>
    </row>
    <row r="9" spans="1:8" x14ac:dyDescent="0.2">
      <c r="A9" s="1" t="s">
        <v>19</v>
      </c>
      <c r="B9">
        <v>1181</v>
      </c>
      <c r="C9">
        <v>115</v>
      </c>
      <c r="D9">
        <f>B4 * 0.2</f>
        <v>1086.4000000000001</v>
      </c>
      <c r="E9">
        <f>C4 * 0.2</f>
        <v>118.80000000000001</v>
      </c>
      <c r="F9" s="22">
        <f>_xlfn.CHISQ.TEST(B9:C9,D9:E9)</f>
        <v>3.8378306381800834E-3</v>
      </c>
      <c r="G9" s="22"/>
      <c r="H9" s="1" t="s">
        <v>6</v>
      </c>
    </row>
    <row r="10" spans="1:8" x14ac:dyDescent="0.2">
      <c r="A10" s="1" t="s">
        <v>18</v>
      </c>
      <c r="B10">
        <v>4251</v>
      </c>
      <c r="C10">
        <v>479</v>
      </c>
      <c r="D10">
        <f xml:space="preserve"> B4 * 0.8</f>
        <v>4345.6000000000004</v>
      </c>
      <c r="E10">
        <f xml:space="preserve"> C4 * 0.8</f>
        <v>475.20000000000005</v>
      </c>
      <c r="F10" s="21">
        <f>_xlfn.CHISQ.TEST(B10:C10,D10:E10)</f>
        <v>0.14829049069183536</v>
      </c>
      <c r="G10" s="21"/>
      <c r="H10" s="1" t="s">
        <v>14</v>
      </c>
    </row>
  </sheetData>
  <mergeCells count="3">
    <mergeCell ref="F8:G8"/>
    <mergeCell ref="F9:G9"/>
    <mergeCell ref="F10:G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96906-0677-8D41-B44C-EB63150A8B5F}">
  <dimension ref="A1:J19"/>
  <sheetViews>
    <sheetView workbookViewId="0">
      <selection activeCell="F27" sqref="F27"/>
    </sheetView>
  </sheetViews>
  <sheetFormatPr baseColWidth="10" defaultRowHeight="16" x14ac:dyDescent="0.2"/>
  <cols>
    <col min="1" max="1" width="19.6640625" customWidth="1"/>
  </cols>
  <sheetData>
    <row r="1" spans="1:10" s="1" customFormat="1" x14ac:dyDescent="0.2">
      <c r="A1" s="1" t="s">
        <v>10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 t="s">
        <v>11</v>
      </c>
      <c r="J1" s="1" t="s">
        <v>4</v>
      </c>
    </row>
    <row r="2" spans="1:10" x14ac:dyDescent="0.2">
      <c r="A2" s="1" t="s">
        <v>2</v>
      </c>
      <c r="B2" s="9">
        <v>1234</v>
      </c>
      <c r="C2" s="9">
        <v>912</v>
      </c>
      <c r="D2" s="9">
        <v>650</v>
      </c>
      <c r="E2" s="9">
        <v>584</v>
      </c>
      <c r="F2" s="9">
        <v>467</v>
      </c>
      <c r="G2" s="9">
        <v>381</v>
      </c>
      <c r="H2" s="9">
        <v>334</v>
      </c>
      <c r="I2" s="9">
        <v>870</v>
      </c>
      <c r="J2" s="13">
        <f>SUM(B2:I2)</f>
        <v>5432</v>
      </c>
    </row>
    <row r="3" spans="1:10" x14ac:dyDescent="0.2">
      <c r="A3" s="6" t="s">
        <v>20</v>
      </c>
      <c r="B3" s="10">
        <v>114</v>
      </c>
      <c r="C3" s="10">
        <v>79</v>
      </c>
      <c r="D3" s="10">
        <v>82</v>
      </c>
      <c r="E3" s="10">
        <v>78</v>
      </c>
      <c r="F3" s="10">
        <v>37</v>
      </c>
      <c r="G3" s="10">
        <v>44</v>
      </c>
      <c r="H3" s="10">
        <v>56</v>
      </c>
      <c r="I3" s="10">
        <v>104</v>
      </c>
      <c r="J3" s="14">
        <f t="shared" ref="J3" si="0">SUM(B3:I3)</f>
        <v>594</v>
      </c>
    </row>
    <row r="4" spans="1:10" x14ac:dyDescent="0.2">
      <c r="A4" s="1" t="s">
        <v>3</v>
      </c>
      <c r="B4" s="1">
        <f>SUM(B2:B3)</f>
        <v>1348</v>
      </c>
      <c r="C4" s="1">
        <f>SUM(C2:C3)</f>
        <v>991</v>
      </c>
      <c r="D4" s="1">
        <f>SUM(D2:D3)</f>
        <v>732</v>
      </c>
      <c r="E4" s="1">
        <f>SUM(E2:E3)</f>
        <v>662</v>
      </c>
      <c r="F4" s="1">
        <f>SUM(F2:F3)</f>
        <v>504</v>
      </c>
      <c r="G4" s="1">
        <f>SUM(G2:G3)</f>
        <v>425</v>
      </c>
      <c r="H4" s="1">
        <f>SUM(H2:H3)</f>
        <v>390</v>
      </c>
      <c r="I4" s="1">
        <f>SUM(I2:I3)</f>
        <v>974</v>
      </c>
      <c r="J4" s="1">
        <f>SUM(J2:J3)</f>
        <v>6026</v>
      </c>
    </row>
    <row r="5" spans="1:10" x14ac:dyDescent="0.2">
      <c r="A5" s="1" t="s">
        <v>5</v>
      </c>
      <c r="B5" s="2">
        <v>3188341</v>
      </c>
      <c r="C5" s="2">
        <v>2231883</v>
      </c>
      <c r="D5" s="2">
        <v>1799298</v>
      </c>
      <c r="E5" s="2">
        <v>1603259</v>
      </c>
      <c r="F5" s="2">
        <v>1190845</v>
      </c>
      <c r="G5" s="2">
        <v>1033292</v>
      </c>
      <c r="H5" s="2">
        <v>949511</v>
      </c>
      <c r="I5" s="2">
        <v>2286237</v>
      </c>
      <c r="J5" s="1">
        <f>SUM(B5:I5)</f>
        <v>14282666</v>
      </c>
    </row>
    <row r="6" spans="1:10" x14ac:dyDescent="0.2">
      <c r="A6" s="1" t="s">
        <v>9</v>
      </c>
      <c r="B6">
        <f>(B4/B5)*1000000</f>
        <v>422.79041043602297</v>
      </c>
      <c r="C6">
        <f t="shared" ref="C6:I6" si="1">(C4/C5)*1000000</f>
        <v>444.01969099634704</v>
      </c>
      <c r="D6">
        <f t="shared" si="1"/>
        <v>406.82532854479916</v>
      </c>
      <c r="E6">
        <f t="shared" si="1"/>
        <v>412.90895607010475</v>
      </c>
      <c r="F6">
        <f t="shared" si="1"/>
        <v>423.22888369183227</v>
      </c>
      <c r="G6">
        <f t="shared" si="1"/>
        <v>411.30677485163926</v>
      </c>
      <c r="H6">
        <f t="shared" si="1"/>
        <v>410.73773763547763</v>
      </c>
      <c r="I6">
        <f t="shared" si="1"/>
        <v>426.02757281944088</v>
      </c>
      <c r="J6" s="1">
        <f>(J4/J5)*1000000</f>
        <v>421.91002716159574</v>
      </c>
    </row>
    <row r="7" spans="1:10" x14ac:dyDescent="0.2">
      <c r="A7" s="1" t="s">
        <v>0</v>
      </c>
    </row>
    <row r="10" spans="1:10" x14ac:dyDescent="0.2">
      <c r="A10" s="4"/>
      <c r="B10" s="4" t="s">
        <v>6</v>
      </c>
      <c r="C10" s="4" t="s">
        <v>17</v>
      </c>
      <c r="D10" s="4" t="s">
        <v>6</v>
      </c>
      <c r="E10" s="4" t="s">
        <v>17</v>
      </c>
      <c r="F10" s="5"/>
      <c r="G10" s="5"/>
      <c r="H10" s="5"/>
    </row>
    <row r="11" spans="1:10" x14ac:dyDescent="0.2">
      <c r="A11" s="1" t="s">
        <v>1</v>
      </c>
      <c r="B11" s="1" t="s">
        <v>7</v>
      </c>
      <c r="C11" s="6" t="s">
        <v>7</v>
      </c>
      <c r="D11" s="1" t="s">
        <v>8</v>
      </c>
      <c r="E11" s="6" t="s">
        <v>8</v>
      </c>
      <c r="F11" s="19" t="s">
        <v>12</v>
      </c>
      <c r="G11" s="19"/>
      <c r="H11" s="1" t="s">
        <v>13</v>
      </c>
    </row>
    <row r="12" spans="1:10" x14ac:dyDescent="0.2">
      <c r="A12" s="8">
        <v>1</v>
      </c>
      <c r="B12">
        <v>1234</v>
      </c>
      <c r="C12">
        <v>114</v>
      </c>
      <c r="D12">
        <f>J2/J4 * B4</f>
        <v>1215.1237968801859</v>
      </c>
      <c r="E12">
        <f>J3/J4 * B4</f>
        <v>132.87620311981414</v>
      </c>
      <c r="F12" s="21">
        <f>_xlfn.CHISQ.TEST(B12:C12,D12:E12)</f>
        <v>8.4572846432656779E-2</v>
      </c>
      <c r="G12" s="21"/>
      <c r="H12" s="1" t="s">
        <v>14</v>
      </c>
    </row>
    <row r="13" spans="1:10" x14ac:dyDescent="0.2">
      <c r="A13" s="8">
        <v>2</v>
      </c>
      <c r="B13">
        <v>912</v>
      </c>
      <c r="C13">
        <v>79</v>
      </c>
      <c r="D13">
        <f>J2/J4 * C4</f>
        <v>893.3143046797212</v>
      </c>
      <c r="E13">
        <f>(J3)/J4 * C4</f>
        <v>97.685695320278782</v>
      </c>
      <c r="F13" s="21">
        <f t="shared" ref="F13:F19" si="2">_xlfn.CHISQ.TEST(B13:C13,D13:E13)</f>
        <v>4.6452063536589032E-2</v>
      </c>
      <c r="G13" s="21"/>
      <c r="H13" s="1" t="s">
        <v>6</v>
      </c>
    </row>
    <row r="14" spans="1:10" x14ac:dyDescent="0.2">
      <c r="A14" s="8">
        <v>3</v>
      </c>
      <c r="B14">
        <v>650</v>
      </c>
      <c r="C14">
        <v>82</v>
      </c>
      <c r="D14">
        <f>J2/J4 * D4</f>
        <v>659.84467308330568</v>
      </c>
      <c r="E14">
        <f>(J3)/J4 *D4</f>
        <v>72.155326916694321</v>
      </c>
      <c r="F14" s="21">
        <f t="shared" si="2"/>
        <v>0.22220725256079854</v>
      </c>
      <c r="G14" s="21"/>
      <c r="H14" s="1" t="s">
        <v>14</v>
      </c>
    </row>
    <row r="15" spans="1:10" x14ac:dyDescent="0.2">
      <c r="A15" s="8">
        <v>4</v>
      </c>
      <c r="B15">
        <v>584</v>
      </c>
      <c r="C15">
        <v>78</v>
      </c>
      <c r="D15">
        <f>J2/J4 * E4</f>
        <v>596.74477265184203</v>
      </c>
      <c r="E15">
        <f>(J3)/J4 *E4</f>
        <v>65.255227348157973</v>
      </c>
      <c r="F15" s="21">
        <f t="shared" si="2"/>
        <v>9.6567950303563507E-2</v>
      </c>
      <c r="G15" s="21"/>
      <c r="H15" s="1" t="s">
        <v>14</v>
      </c>
    </row>
    <row r="16" spans="1:10" x14ac:dyDescent="0.2">
      <c r="A16" s="8">
        <v>5</v>
      </c>
      <c r="B16">
        <v>467</v>
      </c>
      <c r="C16">
        <v>37</v>
      </c>
      <c r="D16">
        <f>J2/J4 * F4</f>
        <v>454.31928310653831</v>
      </c>
      <c r="E16">
        <f>(J3)/J4 *F4</f>
        <v>49.680716893461664</v>
      </c>
      <c r="F16" s="21">
        <f t="shared" si="2"/>
        <v>5.8106653185191301E-2</v>
      </c>
      <c r="G16" s="21"/>
      <c r="H16" s="1" t="s">
        <v>14</v>
      </c>
    </row>
    <row r="17" spans="1:8" x14ac:dyDescent="0.2">
      <c r="A17" s="8">
        <v>6</v>
      </c>
      <c r="B17">
        <v>381</v>
      </c>
      <c r="C17">
        <v>44</v>
      </c>
      <c r="D17">
        <f>J2/J4 * G4</f>
        <v>383.10653833388648</v>
      </c>
      <c r="E17">
        <f>(J3)/J4 *G4</f>
        <v>41.89346166611351</v>
      </c>
      <c r="F17" s="21">
        <f t="shared" si="2"/>
        <v>0.73175479757531758</v>
      </c>
      <c r="G17" s="21"/>
      <c r="H17" s="1" t="s">
        <v>14</v>
      </c>
    </row>
    <row r="18" spans="1:8" x14ac:dyDescent="0.2">
      <c r="A18" s="8">
        <v>7</v>
      </c>
      <c r="B18">
        <v>334</v>
      </c>
      <c r="C18">
        <v>56</v>
      </c>
      <c r="D18">
        <f>J2/J4 * H4</f>
        <v>351.55658811815465</v>
      </c>
      <c r="E18">
        <f>(J3)/J4 *H4</f>
        <v>38.443411881845336</v>
      </c>
      <c r="F18" s="21">
        <f t="shared" si="2"/>
        <v>2.860112116683747E-3</v>
      </c>
      <c r="G18" s="21"/>
      <c r="H18" s="1" t="s">
        <v>17</v>
      </c>
    </row>
    <row r="19" spans="1:8" x14ac:dyDescent="0.2">
      <c r="A19" s="8" t="s">
        <v>11</v>
      </c>
      <c r="B19">
        <v>870</v>
      </c>
      <c r="C19">
        <v>104</v>
      </c>
      <c r="D19">
        <f>J2/J4 * I4</f>
        <v>877.99004314636568</v>
      </c>
      <c r="E19">
        <f>(J3)/J4 *I4</f>
        <v>96.00995685363425</v>
      </c>
      <c r="F19" s="21">
        <f t="shared" si="2"/>
        <v>0.3904141661266135</v>
      </c>
      <c r="G19" s="21"/>
      <c r="H19" s="1" t="s">
        <v>14</v>
      </c>
    </row>
  </sheetData>
  <mergeCells count="9">
    <mergeCell ref="F17:G17"/>
    <mergeCell ref="F18:G18"/>
    <mergeCell ref="F19:G19"/>
    <mergeCell ref="F11:G11"/>
    <mergeCell ref="F12:G12"/>
    <mergeCell ref="F13:G13"/>
    <mergeCell ref="F14:G14"/>
    <mergeCell ref="F15:G15"/>
    <mergeCell ref="F16:G16"/>
  </mergeCells>
  <conditionalFormatting sqref="F12:G19">
    <cfRule type="cellIs" dxfId="2" priority="1" operator="lessThan">
      <formula>0.05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EF26B-1ECB-ED41-BF03-B673C2E1B587}">
  <dimension ref="A1:H10"/>
  <sheetViews>
    <sheetView workbookViewId="0">
      <selection activeCell="H9" sqref="H9"/>
    </sheetView>
  </sheetViews>
  <sheetFormatPr baseColWidth="10" defaultRowHeight="16" x14ac:dyDescent="0.2"/>
  <cols>
    <col min="1" max="1" width="35.33203125" customWidth="1"/>
  </cols>
  <sheetData>
    <row r="1" spans="1:8" x14ac:dyDescent="0.2">
      <c r="A1" s="1" t="s">
        <v>16</v>
      </c>
      <c r="B1" s="1" t="s">
        <v>6</v>
      </c>
      <c r="C1" s="1" t="s">
        <v>17</v>
      </c>
      <c r="D1" s="1" t="s">
        <v>4</v>
      </c>
    </row>
    <row r="2" spans="1:8" x14ac:dyDescent="0.2">
      <c r="A2" s="1" t="s">
        <v>19</v>
      </c>
      <c r="B2">
        <v>853</v>
      </c>
      <c r="C2">
        <v>498</v>
      </c>
      <c r="D2" s="1">
        <f>SUM(B2:C2)</f>
        <v>1351</v>
      </c>
    </row>
    <row r="3" spans="1:8" x14ac:dyDescent="0.2">
      <c r="A3" s="1" t="s">
        <v>18</v>
      </c>
      <c r="B3">
        <v>4633</v>
      </c>
      <c r="C3">
        <v>1092</v>
      </c>
      <c r="D3" s="1">
        <f>SUM(B3:C3)</f>
        <v>5725</v>
      </c>
    </row>
    <row r="4" spans="1:8" x14ac:dyDescent="0.2">
      <c r="A4" s="1" t="s">
        <v>4</v>
      </c>
      <c r="B4" s="1">
        <f>SUM(B2:B3)</f>
        <v>5486</v>
      </c>
      <c r="C4" s="1">
        <f>SUM(C2:C3)</f>
        <v>1590</v>
      </c>
      <c r="D4" s="1">
        <f>SUM(D2:D3)</f>
        <v>7076</v>
      </c>
    </row>
    <row r="5" spans="1:8" x14ac:dyDescent="0.2">
      <c r="A5" s="1"/>
    </row>
    <row r="7" spans="1:8" x14ac:dyDescent="0.2">
      <c r="A7" s="1"/>
      <c r="B7" s="1" t="s">
        <v>6</v>
      </c>
      <c r="C7" s="1" t="s">
        <v>17</v>
      </c>
      <c r="D7" s="1" t="s">
        <v>6</v>
      </c>
      <c r="E7" s="1" t="s">
        <v>17</v>
      </c>
      <c r="F7" s="1"/>
      <c r="G7" s="1"/>
      <c r="H7" s="1"/>
    </row>
    <row r="8" spans="1:8" x14ac:dyDescent="0.2">
      <c r="A8" s="1"/>
      <c r="B8" s="1" t="s">
        <v>7</v>
      </c>
      <c r="C8" s="1" t="s">
        <v>7</v>
      </c>
      <c r="D8" s="1" t="s">
        <v>8</v>
      </c>
      <c r="E8" s="1" t="s">
        <v>8</v>
      </c>
      <c r="F8" s="19" t="s">
        <v>12</v>
      </c>
      <c r="G8" s="19"/>
      <c r="H8" s="1" t="s">
        <v>13</v>
      </c>
    </row>
    <row r="9" spans="1:8" x14ac:dyDescent="0.2">
      <c r="A9" s="1" t="s">
        <v>19</v>
      </c>
      <c r="B9">
        <v>853</v>
      </c>
      <c r="C9">
        <v>498</v>
      </c>
      <c r="D9">
        <f>B4 * 0.2</f>
        <v>1097.2</v>
      </c>
      <c r="E9">
        <f>C4 * 0.2</f>
        <v>318</v>
      </c>
      <c r="F9" s="22">
        <f>_xlfn.CHISQ.TEST(B9:C9,D9:E9)</f>
        <v>7.5120780517324906E-36</v>
      </c>
      <c r="G9" s="22"/>
      <c r="H9" s="1" t="s">
        <v>17</v>
      </c>
    </row>
    <row r="10" spans="1:8" x14ac:dyDescent="0.2">
      <c r="A10" s="1" t="s">
        <v>18</v>
      </c>
      <c r="B10">
        <v>4633</v>
      </c>
      <c r="C10">
        <v>1092</v>
      </c>
      <c r="D10">
        <f xml:space="preserve"> B4 * 0.8</f>
        <v>4388.8</v>
      </c>
      <c r="E10">
        <f xml:space="preserve"> C4 * 0.8</f>
        <v>1272</v>
      </c>
      <c r="F10" s="22">
        <f>_xlfn.CHISQ.TEST(B10:C10,D10:E10)</f>
        <v>4.1110811690332855E-10</v>
      </c>
      <c r="G10" s="22"/>
      <c r="H10" s="1" t="s">
        <v>6</v>
      </c>
    </row>
  </sheetData>
  <mergeCells count="3">
    <mergeCell ref="F8:G8"/>
    <mergeCell ref="F9:G9"/>
    <mergeCell ref="F10:G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AD9E6-2340-C84B-BB08-EDF1358581EE}">
  <dimension ref="A1:Q25"/>
  <sheetViews>
    <sheetView workbookViewId="0">
      <selection activeCell="E26" sqref="E26"/>
    </sheetView>
  </sheetViews>
  <sheetFormatPr baseColWidth="10" defaultRowHeight="16" x14ac:dyDescent="0.2"/>
  <cols>
    <col min="1" max="1" width="22.6640625" customWidth="1"/>
  </cols>
  <sheetData>
    <row r="1" spans="1:17" x14ac:dyDescent="0.2">
      <c r="A1" s="1" t="s">
        <v>10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 t="s">
        <v>4</v>
      </c>
      <c r="Q1" s="1"/>
    </row>
    <row r="2" spans="1:17" x14ac:dyDescent="0.2">
      <c r="A2" s="11" t="s">
        <v>2</v>
      </c>
      <c r="B2" s="9">
        <v>710</v>
      </c>
      <c r="C2" s="9">
        <v>505</v>
      </c>
      <c r="D2" s="9">
        <v>478</v>
      </c>
      <c r="E2" s="9">
        <v>305</v>
      </c>
      <c r="F2" s="9">
        <v>515</v>
      </c>
      <c r="G2" s="9">
        <v>437</v>
      </c>
      <c r="H2" s="9">
        <v>408</v>
      </c>
      <c r="I2" s="9">
        <v>402</v>
      </c>
      <c r="J2" s="9">
        <v>383</v>
      </c>
      <c r="K2" s="9">
        <v>276</v>
      </c>
      <c r="L2" s="9">
        <v>398</v>
      </c>
      <c r="M2" s="9">
        <v>207</v>
      </c>
      <c r="N2" s="9">
        <v>211</v>
      </c>
      <c r="O2" s="9">
        <v>251</v>
      </c>
      <c r="P2" s="13">
        <f>SUM(B2:O2)</f>
        <v>5486</v>
      </c>
    </row>
    <row r="3" spans="1:17" x14ac:dyDescent="0.2">
      <c r="A3" s="6" t="s">
        <v>20</v>
      </c>
      <c r="B3" s="10">
        <f>135+26</f>
        <v>161</v>
      </c>
      <c r="C3" s="10">
        <f>18+97</f>
        <v>115</v>
      </c>
      <c r="D3" s="10">
        <f>17+103</f>
        <v>120</v>
      </c>
      <c r="E3" s="10">
        <f>17+88</f>
        <v>105</v>
      </c>
      <c r="F3" s="10">
        <f>28+134</f>
        <v>162</v>
      </c>
      <c r="G3" s="10">
        <f>25+78</f>
        <v>103</v>
      </c>
      <c r="H3" s="10">
        <f>17+80</f>
        <v>97</v>
      </c>
      <c r="I3" s="10">
        <v>132</v>
      </c>
      <c r="J3" s="10">
        <v>73</v>
      </c>
      <c r="K3" s="10">
        <f>18+85</f>
        <v>103</v>
      </c>
      <c r="L3" s="10">
        <f>28+144</f>
        <v>172</v>
      </c>
      <c r="M3" s="10">
        <f>14+61</f>
        <v>75</v>
      </c>
      <c r="N3" s="10">
        <v>71</v>
      </c>
      <c r="O3" s="10">
        <f>16+85</f>
        <v>101</v>
      </c>
      <c r="P3" s="14">
        <f t="shared" ref="P3:P4" si="0">SUM(B3:O3)</f>
        <v>1590</v>
      </c>
    </row>
    <row r="4" spans="1:17" x14ac:dyDescent="0.2">
      <c r="A4" s="1" t="s">
        <v>3</v>
      </c>
      <c r="B4" s="1">
        <f>SUM(B2:B3)</f>
        <v>871</v>
      </c>
      <c r="C4" s="1">
        <f>SUM(C2:C3)</f>
        <v>620</v>
      </c>
      <c r="D4" s="1">
        <f>SUM(D2:D3)</f>
        <v>598</v>
      </c>
      <c r="E4" s="1">
        <f>SUM(E2:E3)</f>
        <v>410</v>
      </c>
      <c r="F4" s="1">
        <f>SUM(F2:F3)</f>
        <v>677</v>
      </c>
      <c r="G4" s="1">
        <f>SUM(G2:G3)</f>
        <v>540</v>
      </c>
      <c r="H4" s="1">
        <f>SUM(H2:H3)</f>
        <v>505</v>
      </c>
      <c r="I4" s="1">
        <f>SUM(I2:I3)</f>
        <v>534</v>
      </c>
      <c r="J4" s="1">
        <f>SUM(J2:J3)</f>
        <v>456</v>
      </c>
      <c r="K4" s="1">
        <f>SUM(K2:K3)</f>
        <v>379</v>
      </c>
      <c r="L4" s="1">
        <f>SUM(L2:L3)</f>
        <v>570</v>
      </c>
      <c r="M4" s="1">
        <f>SUM(M2:M3)</f>
        <v>282</v>
      </c>
      <c r="N4" s="1">
        <f>SUM(N2:N3)</f>
        <v>282</v>
      </c>
      <c r="O4" s="1">
        <f>SUM(O2:O3)</f>
        <v>352</v>
      </c>
      <c r="P4" s="1">
        <f t="shared" si="0"/>
        <v>7076</v>
      </c>
    </row>
    <row r="5" spans="1:17" x14ac:dyDescent="0.2">
      <c r="A5" s="1" t="s">
        <v>5</v>
      </c>
      <c r="B5" s="2">
        <v>2291499</v>
      </c>
      <c r="C5" s="2">
        <v>1621675</v>
      </c>
      <c r="D5" s="2">
        <v>1575141</v>
      </c>
      <c r="E5" s="2">
        <v>1084805</v>
      </c>
      <c r="F5" s="2">
        <v>1814975</v>
      </c>
      <c r="G5" s="2">
        <v>1422463</v>
      </c>
      <c r="H5" s="2">
        <v>1399503</v>
      </c>
      <c r="I5" s="2">
        <v>1398693</v>
      </c>
      <c r="J5" s="2">
        <v>1186808</v>
      </c>
      <c r="K5" s="2">
        <v>1059964</v>
      </c>
      <c r="L5" s="2">
        <v>1561994</v>
      </c>
      <c r="M5" s="2">
        <v>774062</v>
      </c>
      <c r="N5" s="2">
        <v>756744</v>
      </c>
      <c r="O5" s="2">
        <v>942867</v>
      </c>
      <c r="P5" s="1">
        <f>SUM(C5:O5)</f>
        <v>16599694</v>
      </c>
    </row>
    <row r="6" spans="1:17" x14ac:dyDescent="0.2">
      <c r="A6" s="1" t="s">
        <v>9</v>
      </c>
      <c r="B6">
        <f>(B4/B5)*1000000</f>
        <v>380.10053681018405</v>
      </c>
      <c r="C6">
        <f t="shared" ref="C6:P6" si="1">(C4/C5)*1000000</f>
        <v>382.32074860869164</v>
      </c>
      <c r="D6">
        <f t="shared" si="1"/>
        <v>379.64855209787567</v>
      </c>
      <c r="E6">
        <f t="shared" si="1"/>
        <v>377.94811048990368</v>
      </c>
      <c r="F6">
        <f t="shared" si="1"/>
        <v>373.00789267069797</v>
      </c>
      <c r="G6">
        <f t="shared" si="1"/>
        <v>379.62323097331881</v>
      </c>
      <c r="H6">
        <f t="shared" si="1"/>
        <v>360.8423847608758</v>
      </c>
      <c r="I6">
        <f t="shared" si="1"/>
        <v>381.78499499175302</v>
      </c>
      <c r="J6">
        <f t="shared" si="1"/>
        <v>384.22390142297655</v>
      </c>
      <c r="K6">
        <f t="shared" si="1"/>
        <v>357.55931333516992</v>
      </c>
      <c r="L6">
        <f t="shared" si="1"/>
        <v>364.91817510182494</v>
      </c>
      <c r="M6">
        <f t="shared" si="1"/>
        <v>364.31190266412767</v>
      </c>
      <c r="N6">
        <f t="shared" si="1"/>
        <v>372.64913894262787</v>
      </c>
      <c r="O6">
        <f t="shared" si="1"/>
        <v>373.3294303438343</v>
      </c>
      <c r="P6" s="1">
        <f t="shared" si="1"/>
        <v>426.27291804294708</v>
      </c>
    </row>
    <row r="7" spans="1:17" x14ac:dyDescent="0.2">
      <c r="A7" s="1"/>
    </row>
    <row r="10" spans="1:17" x14ac:dyDescent="0.2">
      <c r="A10" s="1"/>
      <c r="B10" s="1" t="s">
        <v>6</v>
      </c>
      <c r="C10" s="1" t="s">
        <v>17</v>
      </c>
      <c r="D10" s="1" t="s">
        <v>6</v>
      </c>
      <c r="E10" s="1" t="s">
        <v>17</v>
      </c>
      <c r="F10" s="1"/>
      <c r="G10" s="1"/>
    </row>
    <row r="11" spans="1:17" x14ac:dyDescent="0.2">
      <c r="A11" s="1" t="s">
        <v>1</v>
      </c>
      <c r="B11" s="6" t="s">
        <v>7</v>
      </c>
      <c r="C11" s="6" t="s">
        <v>7</v>
      </c>
      <c r="D11" s="6" t="s">
        <v>8</v>
      </c>
      <c r="E11" s="6" t="s">
        <v>8</v>
      </c>
      <c r="F11" s="1" t="s">
        <v>12</v>
      </c>
      <c r="G11" s="1"/>
      <c r="H11" s="6" t="s">
        <v>13</v>
      </c>
    </row>
    <row r="12" spans="1:17" x14ac:dyDescent="0.2">
      <c r="A12" s="1">
        <v>1</v>
      </c>
      <c r="B12" s="7">
        <f>B2</f>
        <v>710</v>
      </c>
      <c r="C12" s="7">
        <f>B3</f>
        <v>161</v>
      </c>
      <c r="D12" s="7">
        <f>P2/P4 * B4</f>
        <v>675.28349349915209</v>
      </c>
      <c r="E12" s="7">
        <f>(P3)/P4 * B4</f>
        <v>195.71650650084794</v>
      </c>
      <c r="F12" s="21">
        <f>_xlfn.CHISQ.TEST(B12:C12,D12:E12)</f>
        <v>4.8277625659067635E-3</v>
      </c>
      <c r="G12" s="21"/>
      <c r="H12" s="1" t="s">
        <v>6</v>
      </c>
    </row>
    <row r="13" spans="1:17" x14ac:dyDescent="0.2">
      <c r="A13" s="1">
        <v>2</v>
      </c>
      <c r="B13" s="7">
        <f>C2</f>
        <v>505</v>
      </c>
      <c r="C13" s="7">
        <f>C3</f>
        <v>115</v>
      </c>
      <c r="D13" s="7">
        <f>P2/P4 * C4</f>
        <v>480.68400226116449</v>
      </c>
      <c r="E13" s="7">
        <f>(P3)/P4* C4</f>
        <v>139.31599773883551</v>
      </c>
      <c r="F13" s="21">
        <f t="shared" ref="F13:F25" si="2">_xlfn.CHISQ.TEST(B13:C13,D13:E13)</f>
        <v>1.9299949292085793E-2</v>
      </c>
      <c r="G13" s="21"/>
      <c r="H13" s="1" t="s">
        <v>6</v>
      </c>
    </row>
    <row r="14" spans="1:17" x14ac:dyDescent="0.2">
      <c r="A14" s="1">
        <v>3</v>
      </c>
      <c r="B14" s="7">
        <f>D2</f>
        <v>478</v>
      </c>
      <c r="C14" s="7">
        <f>D3</f>
        <v>120</v>
      </c>
      <c r="D14" s="7">
        <f>P2/P4 * D4</f>
        <v>463.62747314867158</v>
      </c>
      <c r="E14" s="7">
        <f>(P3)/P4* D4</f>
        <v>134.37252685132844</v>
      </c>
      <c r="F14" s="21">
        <f t="shared" si="2"/>
        <v>0.15909147915199198</v>
      </c>
      <c r="G14" s="21"/>
      <c r="H14" s="1" t="s">
        <v>14</v>
      </c>
    </row>
    <row r="15" spans="1:17" x14ac:dyDescent="0.2">
      <c r="A15" s="1">
        <v>4</v>
      </c>
      <c r="B15" s="7">
        <f>E2</f>
        <v>305</v>
      </c>
      <c r="C15" s="7">
        <f>E3</f>
        <v>105</v>
      </c>
      <c r="D15" s="7">
        <f>P2/P4 * E4</f>
        <v>317.87167891464105</v>
      </c>
      <c r="E15" s="7">
        <f>(P3)/P4 * E4</f>
        <v>92.128321085358962</v>
      </c>
      <c r="F15" s="21">
        <f t="shared" si="2"/>
        <v>0.12775455866998459</v>
      </c>
      <c r="G15" s="21"/>
      <c r="H15" s="1" t="s">
        <v>14</v>
      </c>
    </row>
    <row r="16" spans="1:17" x14ac:dyDescent="0.2">
      <c r="A16" s="1">
        <v>5</v>
      </c>
      <c r="B16" s="7">
        <f>F2</f>
        <v>515</v>
      </c>
      <c r="C16" s="7">
        <f>F3</f>
        <v>162</v>
      </c>
      <c r="D16" s="7">
        <f>P2/P4 * F4</f>
        <v>524.87591859807799</v>
      </c>
      <c r="E16" s="7">
        <f>(P3)/P4 * F4</f>
        <v>152.12408140192198</v>
      </c>
      <c r="F16" s="21">
        <f t="shared" si="2"/>
        <v>0.3631505373624464</v>
      </c>
      <c r="G16" s="21"/>
      <c r="H16" s="1" t="s">
        <v>14</v>
      </c>
    </row>
    <row r="17" spans="1:8" x14ac:dyDescent="0.2">
      <c r="A17" s="1">
        <v>6</v>
      </c>
      <c r="B17" s="7">
        <f>G2</f>
        <v>437</v>
      </c>
      <c r="C17" s="7">
        <f>G3</f>
        <v>103</v>
      </c>
      <c r="D17" s="7">
        <f>P2/P4 * G4</f>
        <v>418.6602600339175</v>
      </c>
      <c r="E17" s="7">
        <f>(P3)/P4* G4</f>
        <v>121.33973996608253</v>
      </c>
      <c r="F17" s="21">
        <f t="shared" si="2"/>
        <v>5.8644035480086773E-2</v>
      </c>
      <c r="G17" s="21"/>
      <c r="H17" s="1" t="s">
        <v>14</v>
      </c>
    </row>
    <row r="18" spans="1:8" x14ac:dyDescent="0.2">
      <c r="A18" s="1">
        <v>7</v>
      </c>
      <c r="B18" s="7">
        <f>H2</f>
        <v>408</v>
      </c>
      <c r="C18" s="7">
        <f>H3</f>
        <v>97</v>
      </c>
      <c r="D18" s="7">
        <f>P2/P4 * H4</f>
        <v>391.52487280949691</v>
      </c>
      <c r="E18" s="7">
        <f>(P3)/P4* H4</f>
        <v>113.47512719050312</v>
      </c>
      <c r="F18" s="21">
        <f t="shared" si="2"/>
        <v>7.9005628985680823E-2</v>
      </c>
      <c r="G18" s="21"/>
      <c r="H18" s="1" t="s">
        <v>14</v>
      </c>
    </row>
    <row r="19" spans="1:8" x14ac:dyDescent="0.2">
      <c r="A19" s="1">
        <v>8</v>
      </c>
      <c r="B19" s="7">
        <f>I2</f>
        <v>402</v>
      </c>
      <c r="C19" s="7">
        <f>I3</f>
        <v>132</v>
      </c>
      <c r="D19">
        <f>P2/P4 * I4</f>
        <v>414.00847936687393</v>
      </c>
      <c r="E19">
        <f>(P3)/P4* I4</f>
        <v>119.99152063312606</v>
      </c>
      <c r="F19" s="21">
        <f t="shared" si="2"/>
        <v>0.21312184843999554</v>
      </c>
      <c r="G19" s="21"/>
      <c r="H19" s="1" t="s">
        <v>14</v>
      </c>
    </row>
    <row r="20" spans="1:8" x14ac:dyDescent="0.2">
      <c r="A20" s="1">
        <v>9</v>
      </c>
      <c r="B20" s="7">
        <f>J2</f>
        <v>383</v>
      </c>
      <c r="C20" s="7">
        <f>J3</f>
        <v>73</v>
      </c>
      <c r="D20">
        <f>P2/P4 * J4</f>
        <v>353.53533069530812</v>
      </c>
      <c r="E20">
        <f>(P3)/P4 * J4</f>
        <v>102.46466930469192</v>
      </c>
      <c r="F20" s="21">
        <f t="shared" si="2"/>
        <v>9.4695537944779857E-4</v>
      </c>
      <c r="G20" s="21"/>
      <c r="H20" s="1" t="s">
        <v>6</v>
      </c>
    </row>
    <row r="21" spans="1:8" x14ac:dyDescent="0.2">
      <c r="A21" s="1">
        <v>10</v>
      </c>
      <c r="B21" s="7">
        <f>K2</f>
        <v>276</v>
      </c>
      <c r="C21" s="7">
        <f>K3</f>
        <v>103</v>
      </c>
      <c r="D21">
        <f>P2/P4 * K4</f>
        <v>293.83747880158285</v>
      </c>
      <c r="E21">
        <f>(P3)/P4* K4</f>
        <v>85.162521198417181</v>
      </c>
      <c r="F21" s="21">
        <f t="shared" si="2"/>
        <v>2.8148844225415883E-2</v>
      </c>
      <c r="G21" s="21"/>
      <c r="H21" s="1" t="s">
        <v>17</v>
      </c>
    </row>
    <row r="22" spans="1:8" x14ac:dyDescent="0.2">
      <c r="A22" s="1">
        <v>11</v>
      </c>
      <c r="B22" s="7">
        <f>L2</f>
        <v>398</v>
      </c>
      <c r="C22" s="7">
        <f>L3</f>
        <v>172</v>
      </c>
      <c r="D22">
        <f>P2/P4 * L4</f>
        <v>441.91916336913511</v>
      </c>
      <c r="E22">
        <f>(P3)/P4 * L4</f>
        <v>128.08083663086489</v>
      </c>
      <c r="F22" s="21">
        <f t="shared" si="2"/>
        <v>1.0464081220797081E-5</v>
      </c>
      <c r="G22" s="21"/>
      <c r="H22" s="1" t="s">
        <v>17</v>
      </c>
    </row>
    <row r="23" spans="1:8" x14ac:dyDescent="0.2">
      <c r="A23" s="1">
        <v>12</v>
      </c>
      <c r="B23" s="7">
        <f>M2</f>
        <v>207</v>
      </c>
      <c r="C23" s="7">
        <f>M3</f>
        <v>75</v>
      </c>
      <c r="D23">
        <f>P2/P4 * M4</f>
        <v>218.6336913510458</v>
      </c>
      <c r="E23">
        <f>(P3)/P4* M4</f>
        <v>63.36630864895421</v>
      </c>
      <c r="F23" s="21">
        <f t="shared" si="2"/>
        <v>9.6955783160765335E-2</v>
      </c>
      <c r="G23" s="21"/>
      <c r="H23" s="1" t="s">
        <v>14</v>
      </c>
    </row>
    <row r="24" spans="1:8" x14ac:dyDescent="0.2">
      <c r="A24" s="1">
        <v>13</v>
      </c>
      <c r="B24" s="7">
        <f>N2</f>
        <v>211</v>
      </c>
      <c r="C24" s="7">
        <f>N3</f>
        <v>71</v>
      </c>
      <c r="D24">
        <f>P2/P4 * N4</f>
        <v>218.6336913510458</v>
      </c>
      <c r="E24">
        <f>(P3)/P4* N4</f>
        <v>63.36630864895421</v>
      </c>
      <c r="F24" s="21">
        <f t="shared" si="2"/>
        <v>0.27610575988801123</v>
      </c>
      <c r="G24" s="21"/>
      <c r="H24" s="1" t="s">
        <v>14</v>
      </c>
    </row>
    <row r="25" spans="1:8" x14ac:dyDescent="0.2">
      <c r="A25" s="1">
        <v>14</v>
      </c>
      <c r="B25" s="7">
        <f>O2</f>
        <v>251</v>
      </c>
      <c r="C25" s="7">
        <f>O3</f>
        <v>101</v>
      </c>
      <c r="D25">
        <f>P2/P4 * O4</f>
        <v>272.90446579988696</v>
      </c>
      <c r="E25">
        <f>(P3)/P4* O4</f>
        <v>79.095534200113065</v>
      </c>
      <c r="F25" s="21">
        <f t="shared" si="2"/>
        <v>5.154846095328406E-3</v>
      </c>
      <c r="G25" s="21"/>
      <c r="H25" s="1" t="s">
        <v>17</v>
      </c>
    </row>
  </sheetData>
  <mergeCells count="14">
    <mergeCell ref="F24:G24"/>
    <mergeCell ref="F25:G25"/>
    <mergeCell ref="F18:G18"/>
    <mergeCell ref="F19:G19"/>
    <mergeCell ref="F20:G20"/>
    <mergeCell ref="F21:G21"/>
    <mergeCell ref="F22:G22"/>
    <mergeCell ref="F23:G23"/>
    <mergeCell ref="F17:G17"/>
    <mergeCell ref="F12:G12"/>
    <mergeCell ref="F13:G13"/>
    <mergeCell ref="F14:G14"/>
    <mergeCell ref="F15:G15"/>
    <mergeCell ref="F16:G16"/>
  </mergeCells>
  <conditionalFormatting sqref="F12:G25">
    <cfRule type="cellIs" dxfId="1" priority="1" operator="lessThan">
      <formula>0.05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33B7C-12A2-7A43-8CA8-A75F898AE63F}">
  <dimension ref="A1:H10"/>
  <sheetViews>
    <sheetView workbookViewId="0">
      <selection activeCell="H9" sqref="H9:H10"/>
    </sheetView>
  </sheetViews>
  <sheetFormatPr baseColWidth="10" defaultRowHeight="16" x14ac:dyDescent="0.2"/>
  <cols>
    <col min="1" max="1" width="28.6640625" customWidth="1"/>
  </cols>
  <sheetData>
    <row r="1" spans="1:8" s="1" customFormat="1" x14ac:dyDescent="0.2">
      <c r="A1" s="1" t="s">
        <v>16</v>
      </c>
      <c r="B1" s="1" t="s">
        <v>6</v>
      </c>
      <c r="C1" s="1" t="s">
        <v>17</v>
      </c>
      <c r="D1" s="1" t="s">
        <v>4</v>
      </c>
    </row>
    <row r="2" spans="1:8" x14ac:dyDescent="0.2">
      <c r="A2" s="1" t="s">
        <v>19</v>
      </c>
      <c r="B2">
        <v>1470</v>
      </c>
      <c r="C2">
        <v>568</v>
      </c>
      <c r="D2" s="1">
        <v>2038</v>
      </c>
    </row>
    <row r="3" spans="1:8" x14ac:dyDescent="0.2">
      <c r="A3" s="1" t="s">
        <v>18</v>
      </c>
      <c r="B3">
        <v>6603</v>
      </c>
      <c r="C3">
        <v>1396</v>
      </c>
      <c r="D3" s="1">
        <v>7999</v>
      </c>
    </row>
    <row r="4" spans="1:8" x14ac:dyDescent="0.2">
      <c r="A4" s="1" t="s">
        <v>4</v>
      </c>
      <c r="B4" s="1">
        <v>8073</v>
      </c>
      <c r="C4" s="1">
        <v>1964</v>
      </c>
      <c r="D4" s="1">
        <v>10037</v>
      </c>
    </row>
    <row r="5" spans="1:8" x14ac:dyDescent="0.2">
      <c r="A5" s="1"/>
      <c r="B5" s="1"/>
      <c r="C5" s="1"/>
      <c r="D5" s="1"/>
    </row>
    <row r="7" spans="1:8" s="1" customFormat="1" x14ac:dyDescent="0.2">
      <c r="B7" s="1" t="s">
        <v>6</v>
      </c>
      <c r="C7" s="1" t="s">
        <v>17</v>
      </c>
      <c r="D7" s="1" t="s">
        <v>6</v>
      </c>
      <c r="E7" s="1" t="s">
        <v>17</v>
      </c>
    </row>
    <row r="8" spans="1:8" x14ac:dyDescent="0.2">
      <c r="A8" s="1"/>
      <c r="B8" s="1" t="s">
        <v>7</v>
      </c>
      <c r="C8" s="1" t="s">
        <v>7</v>
      </c>
      <c r="D8" s="1" t="s">
        <v>8</v>
      </c>
      <c r="E8" s="1" t="s">
        <v>8</v>
      </c>
      <c r="F8" s="19" t="s">
        <v>12</v>
      </c>
      <c r="G8" s="19"/>
      <c r="H8" s="1" t="s">
        <v>13</v>
      </c>
    </row>
    <row r="9" spans="1:8" x14ac:dyDescent="0.2">
      <c r="A9" s="1" t="s">
        <v>19</v>
      </c>
      <c r="B9">
        <v>1470</v>
      </c>
      <c r="C9">
        <v>568</v>
      </c>
      <c r="D9">
        <f>B4 * 0.2</f>
        <v>1614.6000000000001</v>
      </c>
      <c r="E9">
        <f>C4 * 0.2</f>
        <v>392.8</v>
      </c>
      <c r="F9" s="22">
        <f>_xlfn.CHISQ.TEST(B9:C9,D9:E9)</f>
        <v>1.369890898744505E-21</v>
      </c>
      <c r="G9" s="22"/>
      <c r="H9" s="1" t="s">
        <v>17</v>
      </c>
    </row>
    <row r="10" spans="1:8" x14ac:dyDescent="0.2">
      <c r="A10" s="1" t="s">
        <v>18</v>
      </c>
      <c r="B10">
        <v>6603</v>
      </c>
      <c r="C10">
        <v>1396</v>
      </c>
      <c r="D10">
        <f>B4 * 0.8</f>
        <v>6458.4000000000005</v>
      </c>
      <c r="E10">
        <f xml:space="preserve"> C4 * 0.8</f>
        <v>1571.2</v>
      </c>
      <c r="F10" s="22">
        <f>_xlfn.CHISQ.TEST(B10:C10,D10:E10)</f>
        <v>1.8225571241707041E-6</v>
      </c>
      <c r="G10" s="22"/>
      <c r="H10" s="1" t="s">
        <v>6</v>
      </c>
    </row>
  </sheetData>
  <mergeCells count="3">
    <mergeCell ref="F8:G8"/>
    <mergeCell ref="F9:G9"/>
    <mergeCell ref="F10:G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09980-C583-3F48-8422-8260EF304CC5}">
  <dimension ref="A1:J19"/>
  <sheetViews>
    <sheetView workbookViewId="0">
      <selection activeCell="A7" sqref="A7"/>
    </sheetView>
  </sheetViews>
  <sheetFormatPr baseColWidth="10" defaultRowHeight="16" x14ac:dyDescent="0.2"/>
  <cols>
    <col min="1" max="1" width="20.6640625" style="1" customWidth="1"/>
    <col min="2" max="3" width="12.1640625" bestFit="1" customWidth="1"/>
    <col min="6" max="6" width="12.5" customWidth="1"/>
  </cols>
  <sheetData>
    <row r="1" spans="1:10" s="1" customFormat="1" x14ac:dyDescent="0.2">
      <c r="A1" s="1" t="s">
        <v>10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 t="s">
        <v>4</v>
      </c>
    </row>
    <row r="2" spans="1:10" x14ac:dyDescent="0.2">
      <c r="A2" s="11" t="s">
        <v>2</v>
      </c>
      <c r="B2" s="9">
        <v>1329</v>
      </c>
      <c r="C2" s="9">
        <v>1428</v>
      </c>
      <c r="D2" s="9">
        <v>1093</v>
      </c>
      <c r="E2" s="9">
        <v>1070</v>
      </c>
      <c r="F2" s="9">
        <v>1154</v>
      </c>
      <c r="G2" s="9">
        <v>1021</v>
      </c>
      <c r="H2" s="9">
        <v>485</v>
      </c>
      <c r="I2" s="9">
        <v>493</v>
      </c>
      <c r="J2" s="13">
        <f>SUM(B2:I2)</f>
        <v>8073</v>
      </c>
    </row>
    <row r="3" spans="1:10" x14ac:dyDescent="0.2">
      <c r="A3" s="11" t="s">
        <v>15</v>
      </c>
      <c r="B3" s="10">
        <v>329</v>
      </c>
      <c r="C3" s="10">
        <v>237</v>
      </c>
      <c r="D3" s="10">
        <v>330</v>
      </c>
      <c r="E3" s="10">
        <v>213</v>
      </c>
      <c r="F3" s="10">
        <v>251</v>
      </c>
      <c r="G3" s="10">
        <v>263</v>
      </c>
      <c r="H3" s="10">
        <v>180</v>
      </c>
      <c r="I3" s="10">
        <v>161</v>
      </c>
      <c r="J3" s="14">
        <f>SUM(B3:I3)</f>
        <v>1964</v>
      </c>
    </row>
    <row r="4" spans="1:10" x14ac:dyDescent="0.2">
      <c r="A4" s="1" t="s">
        <v>3</v>
      </c>
      <c r="B4" s="1">
        <f>SUM(B2:B3)</f>
        <v>1658</v>
      </c>
      <c r="C4" s="1">
        <f>SUM(C2:C3)</f>
        <v>1665</v>
      </c>
      <c r="D4" s="1">
        <f>SUM(D2:D3)</f>
        <v>1423</v>
      </c>
      <c r="E4" s="1">
        <f>SUM(E2:E3)</f>
        <v>1283</v>
      </c>
      <c r="F4" s="1">
        <f>SUM(F2:F3)</f>
        <v>1405</v>
      </c>
      <c r="G4" s="1">
        <f>SUM(G2:G3)</f>
        <v>1284</v>
      </c>
      <c r="H4" s="1">
        <f>SUM(H2:H3)</f>
        <v>665</v>
      </c>
      <c r="I4" s="1">
        <f>SUM(I2:I3)</f>
        <v>654</v>
      </c>
      <c r="J4" s="1">
        <f>SUM(B4:I4)</f>
        <v>10037</v>
      </c>
    </row>
    <row r="5" spans="1:10" x14ac:dyDescent="0.2">
      <c r="A5" s="1" t="s">
        <v>5</v>
      </c>
      <c r="B5">
        <v>4918979</v>
      </c>
      <c r="C5">
        <v>4844472</v>
      </c>
      <c r="D5">
        <v>4079167</v>
      </c>
      <c r="E5">
        <v>3923705</v>
      </c>
      <c r="F5">
        <v>3948441</v>
      </c>
      <c r="G5">
        <v>3778736</v>
      </c>
      <c r="H5">
        <v>2058334</v>
      </c>
      <c r="I5">
        <v>1833124</v>
      </c>
      <c r="J5" s="1">
        <f>SUM(B5:I5)</f>
        <v>29384958</v>
      </c>
    </row>
    <row r="6" spans="1:10" x14ac:dyDescent="0.2">
      <c r="A6" s="1" t="s">
        <v>9</v>
      </c>
      <c r="B6" s="3">
        <f t="shared" ref="B6:I6" si="0">(B4/B5)*1000000</f>
        <v>337.06181709659666</v>
      </c>
      <c r="C6" s="3">
        <f t="shared" si="0"/>
        <v>343.69070561250021</v>
      </c>
      <c r="D6" s="3">
        <f t="shared" si="0"/>
        <v>348.84573247430171</v>
      </c>
      <c r="E6" s="3">
        <f t="shared" si="0"/>
        <v>326.98686573022178</v>
      </c>
      <c r="F6" s="3">
        <f t="shared" si="0"/>
        <v>355.83664540004526</v>
      </c>
      <c r="G6" s="3">
        <f t="shared" si="0"/>
        <v>339.79616464341518</v>
      </c>
      <c r="H6" s="3">
        <f t="shared" si="0"/>
        <v>323.07681843665802</v>
      </c>
      <c r="I6" s="3">
        <f t="shared" si="0"/>
        <v>356.76800914722628</v>
      </c>
      <c r="J6" s="15">
        <f>SUM(J4/J5)*1000000</f>
        <v>341.56931583839599</v>
      </c>
    </row>
    <row r="10" spans="1:10" x14ac:dyDescent="0.2">
      <c r="A10" s="4"/>
      <c r="B10" s="4" t="s">
        <v>6</v>
      </c>
      <c r="C10" s="4" t="s">
        <v>17</v>
      </c>
      <c r="D10" s="4" t="s">
        <v>6</v>
      </c>
      <c r="E10" s="4" t="s">
        <v>17</v>
      </c>
      <c r="F10" s="5"/>
      <c r="G10" s="5"/>
      <c r="H10" s="5"/>
    </row>
    <row r="11" spans="1:10" x14ac:dyDescent="0.2">
      <c r="A11" s="1" t="s">
        <v>1</v>
      </c>
      <c r="B11" s="1" t="s">
        <v>7</v>
      </c>
      <c r="C11" s="6" t="s">
        <v>7</v>
      </c>
      <c r="D11" s="1" t="s">
        <v>8</v>
      </c>
      <c r="E11" s="6" t="s">
        <v>8</v>
      </c>
      <c r="F11" s="19" t="s">
        <v>12</v>
      </c>
      <c r="G11" s="19"/>
      <c r="H11" s="1" t="s">
        <v>13</v>
      </c>
    </row>
    <row r="12" spans="1:10" x14ac:dyDescent="0.2">
      <c r="A12" s="1">
        <v>1</v>
      </c>
      <c r="B12" s="2">
        <f>B2</f>
        <v>1329</v>
      </c>
      <c r="C12">
        <f>B3</f>
        <v>329</v>
      </c>
      <c r="D12">
        <f>J2/J4 * B4</f>
        <v>1333.5691939822657</v>
      </c>
      <c r="E12">
        <f>(J3)/J4 * B4</f>
        <v>324.43080601773437</v>
      </c>
      <c r="F12" s="21">
        <f>_xlfn.CHISQ.TEST(B12:C12,D12:E12)</f>
        <v>0.77728840106240216</v>
      </c>
      <c r="G12" s="21"/>
      <c r="H12" s="1" t="s">
        <v>14</v>
      </c>
    </row>
    <row r="13" spans="1:10" x14ac:dyDescent="0.2">
      <c r="A13" s="1">
        <v>2</v>
      </c>
      <c r="B13" s="2">
        <f>C2</f>
        <v>1428</v>
      </c>
      <c r="C13">
        <f>C3</f>
        <v>237</v>
      </c>
      <c r="D13">
        <f>J2/J4 * C4</f>
        <v>1339.1994619906345</v>
      </c>
      <c r="E13">
        <f>(J3)/J4 * C4</f>
        <v>325.80053800936537</v>
      </c>
      <c r="F13" s="23">
        <f t="shared" ref="F13" si="1">_xlfn.CHISQ.TEST(B13:C13,D13:E13)</f>
        <v>4.1206696077148755E-8</v>
      </c>
      <c r="G13" s="23"/>
      <c r="H13" s="1" t="s">
        <v>6</v>
      </c>
    </row>
    <row r="14" spans="1:10" x14ac:dyDescent="0.2">
      <c r="A14" s="1">
        <v>3</v>
      </c>
      <c r="B14" s="2">
        <f>D2</f>
        <v>1093</v>
      </c>
      <c r="C14" s="18">
        <f>D3</f>
        <v>330</v>
      </c>
      <c r="D14">
        <f>J2/J4 * D4</f>
        <v>1144.5530537013051</v>
      </c>
      <c r="E14">
        <f>(J3)/J4  * D4</f>
        <v>278.4469462986948</v>
      </c>
      <c r="F14" s="21">
        <f>_xlfn.CHISQ.TEST(B14:C14,D14:E14)</f>
        <v>5.7142104897683899E-4</v>
      </c>
      <c r="G14" s="21"/>
      <c r="H14" s="1" t="s">
        <v>17</v>
      </c>
    </row>
    <row r="15" spans="1:10" x14ac:dyDescent="0.2">
      <c r="A15" s="1">
        <v>4</v>
      </c>
      <c r="B15" s="2">
        <f>E2</f>
        <v>1070</v>
      </c>
      <c r="C15" s="18">
        <f>E3</f>
        <v>213</v>
      </c>
      <c r="D15">
        <f>J2/J4 * E4</f>
        <v>1031.9476935339244</v>
      </c>
      <c r="E15">
        <f>(J3)/J4 * E4</f>
        <v>251.05230646607552</v>
      </c>
      <c r="F15" s="21">
        <f t="shared" ref="F15:F19" si="2">_xlfn.CHISQ.TEST(B15:C15,D15:E15)</f>
        <v>7.4100324779133274E-3</v>
      </c>
      <c r="G15" s="21"/>
      <c r="H15" s="1" t="s">
        <v>6</v>
      </c>
    </row>
    <row r="16" spans="1:10" x14ac:dyDescent="0.2">
      <c r="A16" s="1">
        <v>5</v>
      </c>
      <c r="B16" s="2">
        <f>F2</f>
        <v>1154</v>
      </c>
      <c r="C16" s="18">
        <f>F3</f>
        <v>251</v>
      </c>
      <c r="D16">
        <f>J2/J4 * F4</f>
        <v>1130.0752216797848</v>
      </c>
      <c r="E16">
        <f>(J3)/J4  * F4</f>
        <v>274.92477832021518</v>
      </c>
      <c r="F16" s="21">
        <f t="shared" si="2"/>
        <v>0.107641114207016</v>
      </c>
      <c r="G16" s="21"/>
      <c r="H16" s="1" t="s">
        <v>14</v>
      </c>
    </row>
    <row r="17" spans="1:8" x14ac:dyDescent="0.2">
      <c r="A17" s="1">
        <v>6</v>
      </c>
      <c r="B17" s="2">
        <f>G2</f>
        <v>1021</v>
      </c>
      <c r="C17" s="18">
        <f>G3</f>
        <v>263</v>
      </c>
      <c r="D17">
        <f>J2/J4 * G4</f>
        <v>1032.7520175351201</v>
      </c>
      <c r="E17">
        <f>(J3)/J4 * G4</f>
        <v>251.24798246487993</v>
      </c>
      <c r="F17" s="21">
        <f t="shared" si="2"/>
        <v>0.4084096170175367</v>
      </c>
      <c r="G17" s="21"/>
      <c r="H17" s="1" t="s">
        <v>14</v>
      </c>
    </row>
    <row r="18" spans="1:8" x14ac:dyDescent="0.2">
      <c r="A18" s="1">
        <v>7</v>
      </c>
      <c r="B18" s="2">
        <f>H2</f>
        <v>485</v>
      </c>
      <c r="C18" s="18">
        <f>H3</f>
        <v>180</v>
      </c>
      <c r="D18">
        <f>J2/J4 * H4</f>
        <v>534.8754607950583</v>
      </c>
      <c r="E18">
        <f>(J3)/J4  * H4</f>
        <v>130.12453920494173</v>
      </c>
      <c r="F18" s="21">
        <f t="shared" si="2"/>
        <v>1.0870217921831673E-6</v>
      </c>
      <c r="G18" s="21"/>
      <c r="H18" s="1" t="s">
        <v>17</v>
      </c>
    </row>
    <row r="19" spans="1:8" x14ac:dyDescent="0.2">
      <c r="A19" s="1">
        <v>8</v>
      </c>
      <c r="B19" s="2">
        <f>I2</f>
        <v>493</v>
      </c>
      <c r="C19" s="18">
        <f>I3</f>
        <v>161</v>
      </c>
      <c r="D19">
        <f>J2/J4 * I4</f>
        <v>526.02789678190697</v>
      </c>
      <c r="E19">
        <f>(J3)/J4 * I4</f>
        <v>127.97210321809305</v>
      </c>
      <c r="F19" s="21">
        <f t="shared" si="2"/>
        <v>1.1322262768213328E-3</v>
      </c>
      <c r="G19" s="21"/>
      <c r="H19" s="1" t="s">
        <v>17</v>
      </c>
    </row>
  </sheetData>
  <mergeCells count="9">
    <mergeCell ref="F16:G16"/>
    <mergeCell ref="F17:G17"/>
    <mergeCell ref="F18:G18"/>
    <mergeCell ref="F19:G19"/>
    <mergeCell ref="F11:G11"/>
    <mergeCell ref="F12:G12"/>
    <mergeCell ref="F13:G13"/>
    <mergeCell ref="F14:G14"/>
    <mergeCell ref="F15:G15"/>
  </mergeCells>
  <conditionalFormatting sqref="F12:G19">
    <cfRule type="cellIs" dxfId="0" priority="1" operator="lessThan">
      <formula>0.05</formula>
    </cfRule>
  </conditionalFormatting>
  <pageMargins left="0.7" right="0.7" top="0.75" bottom="0.75" header="0.3" footer="0.3"/>
  <pageSetup paperSize="9" orientation="portrait" horizontalDpi="0" verticalDpi="0"/>
  <ignoredErrors>
    <ignoredError sqref="B4:I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S. cerevisiae S288C global</vt:lpstr>
      <vt:lpstr>S. cerevisiae S288C chromosomal</vt:lpstr>
      <vt:lpstr>C. albicans SC5314 global</vt:lpstr>
      <vt:lpstr>C. albicans SC5314 chromosomal</vt:lpstr>
      <vt:lpstr>Cr. neoformans H99 global</vt:lpstr>
      <vt:lpstr>Cr. neoformans H99 chromosomal</vt:lpstr>
      <vt:lpstr>A. fumigatus Af293 global</vt:lpstr>
      <vt:lpstr>A. fumigatus Af293 chromosomal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Charley McCarthy</cp:lastModifiedBy>
  <dcterms:created xsi:type="dcterms:W3CDTF">2018-05-24T13:57:21Z</dcterms:created>
  <dcterms:modified xsi:type="dcterms:W3CDTF">2018-09-04T13:43:49Z</dcterms:modified>
</cp:coreProperties>
</file>